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\\Amsv00\健康ほけん課\02_保険年金係\保険年金係\国民健康保険\国民健康保険税\広報・ＨＰ\HP\R8\"/>
    </mc:Choice>
  </mc:AlternateContent>
  <xr:revisionPtr revIDLastSave="0" documentId="13_ncr:1_{BE162793-3D05-4C0D-8A1B-FBC0A8F97C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国保税試算" sheetId="1" r:id="rId1"/>
    <sheet name="入力例" sheetId="2" r:id="rId2"/>
  </sheets>
  <definedNames>
    <definedName name="_xlnm.Print_Area" localSheetId="0">'R8国保税試算'!$A$1:$S$19</definedName>
    <definedName name="_xlnm.Print_Area" localSheetId="1">入力例!$A$1:$S$19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" i="1" l="1"/>
  <c r="Y4" i="1"/>
  <c r="AB4" i="1" s="1"/>
  <c r="C26" i="1" l="1"/>
  <c r="S4" i="1" l="1"/>
  <c r="T8" i="1"/>
  <c r="AF29" i="1" s="1"/>
  <c r="W4" i="1" a="1"/>
  <c r="W4" i="1" s="1"/>
  <c r="X4" i="1" s="1"/>
  <c r="W7" i="1" a="1"/>
  <c r="W7" i="1" s="1"/>
  <c r="W6" i="1" a="1"/>
  <c r="W6" i="1" s="1"/>
  <c r="W5" i="1" a="1"/>
  <c r="W5" i="1" s="1"/>
  <c r="W8" i="1" a="1"/>
  <c r="W8" i="1" s="1"/>
  <c r="S8" i="2"/>
  <c r="S7" i="2"/>
  <c r="S6" i="2"/>
  <c r="S5" i="2"/>
  <c r="S4" i="2"/>
  <c r="AE29" i="1" l="1"/>
  <c r="Z8" i="1"/>
  <c r="Z7" i="1"/>
  <c r="Z6" i="1"/>
  <c r="Z5" i="1"/>
  <c r="Y8" i="1"/>
  <c r="Y7" i="1"/>
  <c r="Y6" i="1"/>
  <c r="Y5" i="1"/>
  <c r="X6" i="1" l="1"/>
  <c r="AC6" i="1" s="1"/>
  <c r="X7" i="1"/>
  <c r="V7" i="1" s="1"/>
  <c r="X8" i="1"/>
  <c r="X5" i="1"/>
  <c r="AB5" i="1"/>
  <c r="AB6" i="1"/>
  <c r="AB7" i="1"/>
  <c r="AB8" i="1"/>
  <c r="V4" i="1"/>
  <c r="AA5" i="1"/>
  <c r="AA6" i="1"/>
  <c r="AA7" i="1"/>
  <c r="AA8" i="1"/>
  <c r="AA4" i="1"/>
  <c r="S5" i="1"/>
  <c r="S6" i="1"/>
  <c r="T6" i="1" s="1"/>
  <c r="U6" i="1"/>
  <c r="S7" i="1"/>
  <c r="T7" i="1" s="1"/>
  <c r="U7" i="1"/>
  <c r="S8" i="1"/>
  <c r="U8" i="1"/>
  <c r="V6" i="1" l="1"/>
  <c r="AD7" i="1"/>
  <c r="AC7" i="1"/>
  <c r="X28" i="1" s="1"/>
  <c r="AD6" i="1"/>
  <c r="AD8" i="1"/>
  <c r="AC8" i="1"/>
  <c r="AD29" i="1" s="1"/>
  <c r="V8" i="1"/>
  <c r="AD5" i="1"/>
  <c r="AD4" i="1"/>
  <c r="AC4" i="1"/>
  <c r="AD27" i="1"/>
  <c r="U27" i="1"/>
  <c r="AA27" i="1"/>
  <c r="X27" i="1"/>
  <c r="AC5" i="1"/>
  <c r="V5" i="1"/>
  <c r="U5" i="1"/>
  <c r="T5" i="1"/>
  <c r="U4" i="1"/>
  <c r="T4" i="1"/>
  <c r="AB29" i="1"/>
  <c r="U29" i="1" l="1"/>
  <c r="X29" i="1"/>
  <c r="AA29" i="1"/>
  <c r="U28" i="1"/>
  <c r="V10" i="1"/>
  <c r="AD28" i="1"/>
  <c r="AA28" i="1"/>
  <c r="U32" i="1"/>
  <c r="AC10" i="1"/>
  <c r="AD26" i="1"/>
  <c r="X26" i="1"/>
  <c r="U26" i="1"/>
  <c r="AA26" i="1"/>
  <c r="AA25" i="1"/>
  <c r="U25" i="1"/>
  <c r="AD25" i="1"/>
  <c r="X25" i="1"/>
  <c r="W32" i="1" l="1"/>
  <c r="AF27" i="1" s="1"/>
  <c r="AB27" i="1"/>
  <c r="AB25" i="1"/>
  <c r="AB28" i="1"/>
  <c r="AF28" i="1" l="1"/>
  <c r="AE27" i="1"/>
  <c r="Y29" i="1"/>
  <c r="V29" i="1"/>
  <c r="V25" i="1"/>
  <c r="AE28" i="1"/>
  <c r="Y25" i="1"/>
  <c r="Z25" i="1"/>
  <c r="AC25" i="1"/>
  <c r="V28" i="1"/>
  <c r="AE26" i="1"/>
  <c r="V27" i="1"/>
  <c r="AG25" i="1"/>
  <c r="AF25" i="1"/>
  <c r="Y27" i="1"/>
  <c r="AE25" i="1"/>
  <c r="W25" i="1"/>
  <c r="V26" i="1"/>
  <c r="V32" i="1"/>
  <c r="AB26" i="1"/>
  <c r="Y28" i="1"/>
  <c r="Y26" i="1"/>
  <c r="AF26" i="1"/>
  <c r="W30" i="1" l="1"/>
  <c r="AG30" i="1"/>
  <c r="AC30" i="1"/>
  <c r="Z30" i="1"/>
  <c r="AG32" i="1" l="1"/>
  <c r="AG34" i="1" s="1"/>
  <c r="E14" i="1" s="1"/>
  <c r="E1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<sst xmlns="http://schemas.openxmlformats.org/spreadsheetml/2006/main" count="120" uniqueCount="65">
  <si>
    <t>年齢</t>
    <rPh sb="0" eb="2">
      <t>ネンレイ</t>
    </rPh>
    <phoneticPr fontId="1"/>
  </si>
  <si>
    <t>給与所得</t>
    <rPh sb="0" eb="2">
      <t>キュウヨ</t>
    </rPh>
    <rPh sb="2" eb="4">
      <t>ショトク</t>
    </rPh>
    <phoneticPr fontId="1"/>
  </si>
  <si>
    <t>世帯主</t>
    <rPh sb="0" eb="3">
      <t>セタイヌシ</t>
    </rPh>
    <phoneticPr fontId="1"/>
  </si>
  <si>
    <t>その他所得</t>
    <rPh sb="2" eb="3">
      <t>タ</t>
    </rPh>
    <rPh sb="3" eb="5">
      <t>ショトク</t>
    </rPh>
    <phoneticPr fontId="1"/>
  </si>
  <si>
    <t>加入月数</t>
    <rPh sb="0" eb="2">
      <t>カニュウ</t>
    </rPh>
    <rPh sb="2" eb="3">
      <t>ツキ</t>
    </rPh>
    <rPh sb="3" eb="4">
      <t>スウ</t>
    </rPh>
    <phoneticPr fontId="1"/>
  </si>
  <si>
    <t>氏名</t>
    <rPh sb="0" eb="2">
      <t>シメイ</t>
    </rPh>
    <phoneticPr fontId="1"/>
  </si>
  <si>
    <t>軽減フラグ</t>
    <rPh sb="0" eb="2">
      <t>ケイゲン</t>
    </rPh>
    <phoneticPr fontId="1"/>
  </si>
  <si>
    <t>医療分</t>
    <rPh sb="0" eb="2">
      <t>イリョウ</t>
    </rPh>
    <rPh sb="2" eb="3">
      <t>ブン</t>
    </rPh>
    <phoneticPr fontId="1"/>
  </si>
  <si>
    <t>介護分</t>
    <rPh sb="0" eb="2">
      <t>カイゴ</t>
    </rPh>
    <rPh sb="2" eb="3">
      <t>ブン</t>
    </rPh>
    <phoneticPr fontId="1"/>
  </si>
  <si>
    <t>所得割</t>
    <rPh sb="0" eb="2">
      <t>ショトク</t>
    </rPh>
    <rPh sb="2" eb="3">
      <t>ワリ</t>
    </rPh>
    <phoneticPr fontId="1"/>
  </si>
  <si>
    <t>均等割</t>
    <rPh sb="0" eb="3">
      <t>キントウワリ</t>
    </rPh>
    <phoneticPr fontId="1"/>
  </si>
  <si>
    <t>平等割</t>
    <rPh sb="0" eb="2">
      <t>ビョウドウ</t>
    </rPh>
    <rPh sb="2" eb="3">
      <t>ワリ</t>
    </rPh>
    <phoneticPr fontId="1"/>
  </si>
  <si>
    <t>介護フラグ</t>
    <rPh sb="0" eb="2">
      <t>カイゴ</t>
    </rPh>
    <phoneticPr fontId="1"/>
  </si>
  <si>
    <t>○</t>
  </si>
  <si>
    <t>○</t>
    <phoneticPr fontId="1"/>
  </si>
  <si>
    <t>軽減所得</t>
    <rPh sb="0" eb="2">
      <t>ケイゲン</t>
    </rPh>
    <rPh sb="2" eb="4">
      <t>ショトク</t>
    </rPh>
    <phoneticPr fontId="1"/>
  </si>
  <si>
    <t>軽減割合</t>
    <rPh sb="0" eb="2">
      <t>ケイゲン</t>
    </rPh>
    <rPh sb="2" eb="4">
      <t>ワリアイ</t>
    </rPh>
    <phoneticPr fontId="1"/>
  </si>
  <si>
    <t>給与収入</t>
    <rPh sb="0" eb="2">
      <t>キュウヨ</t>
    </rPh>
    <rPh sb="2" eb="4">
      <t>シュウニュウ</t>
    </rPh>
    <phoneticPr fontId="1"/>
  </si>
  <si>
    <t>年金収入</t>
    <rPh sb="0" eb="2">
      <t>ネンキン</t>
    </rPh>
    <rPh sb="2" eb="4">
      <t>シュウニュウ</t>
    </rPh>
    <phoneticPr fontId="1"/>
  </si>
  <si>
    <t>A*0.3+80000</t>
    <phoneticPr fontId="1"/>
  </si>
  <si>
    <t>A*0.2+440000</t>
    <phoneticPr fontId="1"/>
  </si>
  <si>
    <t>A*0.1+1100000</t>
    <phoneticPr fontId="1"/>
  </si>
  <si>
    <t>A*0.25+275000</t>
    <phoneticPr fontId="1"/>
  </si>
  <si>
    <t>A*0.15+685000</t>
    <phoneticPr fontId="1"/>
  </si>
  <si>
    <t>A*0.05+1455000</t>
    <phoneticPr fontId="1"/>
  </si>
  <si>
    <t>A*0.25+275000</t>
    <phoneticPr fontId="1"/>
  </si>
  <si>
    <t>A*0.15+685000</t>
    <phoneticPr fontId="1"/>
  </si>
  <si>
    <t>A*0.05+1455000</t>
    <phoneticPr fontId="1"/>
  </si>
  <si>
    <t>給与</t>
    <rPh sb="0" eb="2">
      <t>キュウヨ</t>
    </rPh>
    <phoneticPr fontId="1"/>
  </si>
  <si>
    <t>年金65</t>
    <rPh sb="0" eb="2">
      <t>ネンキン</t>
    </rPh>
    <phoneticPr fontId="1"/>
  </si>
  <si>
    <t>年金60</t>
    <rPh sb="0" eb="2">
      <t>ネンキン</t>
    </rPh>
    <phoneticPr fontId="1"/>
  </si>
  <si>
    <t>年金65所得</t>
    <rPh sb="0" eb="2">
      <t>ネンキン</t>
    </rPh>
    <rPh sb="4" eb="6">
      <t>ショトク</t>
    </rPh>
    <phoneticPr fontId="1"/>
  </si>
  <si>
    <t>年金60所得</t>
    <rPh sb="0" eb="2">
      <t>ネンキン</t>
    </rPh>
    <rPh sb="4" eb="6">
      <t>ショトク</t>
    </rPh>
    <phoneticPr fontId="1"/>
  </si>
  <si>
    <t>1カ月あたりの国保税額</t>
    <rPh sb="2" eb="3">
      <t>ゲツ</t>
    </rPh>
    <rPh sb="7" eb="9">
      <t>コクホ</t>
    </rPh>
    <rPh sb="9" eb="10">
      <t>ゼイ</t>
    </rPh>
    <rPh sb="10" eb="11">
      <t>ガク</t>
    </rPh>
    <phoneticPr fontId="1"/>
  </si>
  <si>
    <t>※1カ月あたりの国保税額（年額÷加入月数）と、各納期毎の国保税額（年額÷納期数）は異なりますのでご注意ください。</t>
    <rPh sb="3" eb="4">
      <t>ゲツ</t>
    </rPh>
    <rPh sb="8" eb="10">
      <t>コクホ</t>
    </rPh>
    <rPh sb="10" eb="11">
      <t>ゼイ</t>
    </rPh>
    <rPh sb="11" eb="12">
      <t>ガク</t>
    </rPh>
    <rPh sb="13" eb="15">
      <t>ネンガク</t>
    </rPh>
    <rPh sb="16" eb="18">
      <t>カニュウ</t>
    </rPh>
    <rPh sb="18" eb="19">
      <t>ツキ</t>
    </rPh>
    <rPh sb="19" eb="20">
      <t>スウ</t>
    </rPh>
    <rPh sb="23" eb="24">
      <t>カク</t>
    </rPh>
    <rPh sb="24" eb="26">
      <t>ノウキ</t>
    </rPh>
    <rPh sb="26" eb="27">
      <t>ゴト</t>
    </rPh>
    <rPh sb="28" eb="30">
      <t>コクホ</t>
    </rPh>
    <rPh sb="30" eb="31">
      <t>ゼイ</t>
    </rPh>
    <rPh sb="31" eb="32">
      <t>ガク</t>
    </rPh>
    <rPh sb="33" eb="35">
      <t>ネンガク</t>
    </rPh>
    <rPh sb="36" eb="38">
      <t>ノウキ</t>
    </rPh>
    <rPh sb="38" eb="39">
      <t>スウ</t>
    </rPh>
    <rPh sb="41" eb="42">
      <t>コト</t>
    </rPh>
    <rPh sb="49" eb="51">
      <t>チュウイ</t>
    </rPh>
    <phoneticPr fontId="1"/>
  </si>
  <si>
    <t>収入・所得の情報（円）</t>
    <rPh sb="0" eb="2">
      <t>シュウニュウ</t>
    </rPh>
    <rPh sb="3" eb="5">
      <t>ショトク</t>
    </rPh>
    <rPh sb="6" eb="8">
      <t>ジョウホウ</t>
    </rPh>
    <rPh sb="9" eb="10">
      <t>エン</t>
    </rPh>
    <phoneticPr fontId="1"/>
  </si>
  <si>
    <t>被保1</t>
    <rPh sb="0" eb="1">
      <t>ヒ</t>
    </rPh>
    <rPh sb="1" eb="2">
      <t>ホ</t>
    </rPh>
    <phoneticPr fontId="1"/>
  </si>
  <si>
    <t>被保2</t>
    <rPh sb="0" eb="1">
      <t>ヒ</t>
    </rPh>
    <rPh sb="1" eb="2">
      <t>ホ</t>
    </rPh>
    <phoneticPr fontId="1"/>
  </si>
  <si>
    <t>被保3</t>
    <rPh sb="0" eb="1">
      <t>ヒ</t>
    </rPh>
    <rPh sb="1" eb="2">
      <t>ホ</t>
    </rPh>
    <phoneticPr fontId="1"/>
  </si>
  <si>
    <t>被保4</t>
    <rPh sb="0" eb="1">
      <t>ヒ</t>
    </rPh>
    <rPh sb="1" eb="2">
      <t>ホ</t>
    </rPh>
    <phoneticPr fontId="1"/>
  </si>
  <si>
    <t>【注意1】世帯主が国保加入でない場合も、国保加入期間を空欄にして年齢・収入・所得等の情報を入力してください。軽減判定等の計算で必要になります。</t>
    <rPh sb="1" eb="3">
      <t>チュウイ</t>
    </rPh>
    <rPh sb="5" eb="8">
      <t>セタイヌシ</t>
    </rPh>
    <rPh sb="9" eb="11">
      <t>コクホ</t>
    </rPh>
    <rPh sb="11" eb="13">
      <t>カニュウ</t>
    </rPh>
    <rPh sb="16" eb="18">
      <t>バアイ</t>
    </rPh>
    <rPh sb="20" eb="22">
      <t>コクホ</t>
    </rPh>
    <rPh sb="22" eb="24">
      <t>カニュウ</t>
    </rPh>
    <rPh sb="24" eb="26">
      <t>キカン</t>
    </rPh>
    <rPh sb="27" eb="29">
      <t>クウラン</t>
    </rPh>
    <rPh sb="32" eb="34">
      <t>ネンレイ</t>
    </rPh>
    <rPh sb="35" eb="37">
      <t>シュウニュウ</t>
    </rPh>
    <rPh sb="38" eb="40">
      <t>ショトク</t>
    </rPh>
    <rPh sb="40" eb="41">
      <t>トウ</t>
    </rPh>
    <rPh sb="42" eb="44">
      <t>ジョウホウ</t>
    </rPh>
    <rPh sb="45" eb="47">
      <t>ニュウリョク</t>
    </rPh>
    <rPh sb="54" eb="56">
      <t>ケイゲン</t>
    </rPh>
    <rPh sb="56" eb="58">
      <t>ハンテイ</t>
    </rPh>
    <rPh sb="58" eb="59">
      <t>トウ</t>
    </rPh>
    <rPh sb="60" eb="62">
      <t>ケイサン</t>
    </rPh>
    <rPh sb="63" eb="65">
      <t>ヒツヨウ</t>
    </rPh>
    <phoneticPr fontId="1"/>
  </si>
  <si>
    <t>【注意2】年齢は、4月1日時点の年齢を入力してください。</t>
    <rPh sb="1" eb="3">
      <t>チュウイ</t>
    </rPh>
    <rPh sb="5" eb="7">
      <t>ネンレイ</t>
    </rPh>
    <rPh sb="10" eb="11">
      <t>ガツ</t>
    </rPh>
    <rPh sb="12" eb="13">
      <t>ニチ</t>
    </rPh>
    <rPh sb="13" eb="15">
      <t>ジテン</t>
    </rPh>
    <rPh sb="16" eb="18">
      <t>ネンレイ</t>
    </rPh>
    <rPh sb="19" eb="21">
      <t>ニュウリョク</t>
    </rPh>
    <phoneticPr fontId="1"/>
  </si>
  <si>
    <t>年金65軽減</t>
    <rPh sb="0" eb="2">
      <t>ネンキン</t>
    </rPh>
    <rPh sb="4" eb="6">
      <t>ケイゲン</t>
    </rPh>
    <phoneticPr fontId="1"/>
  </si>
  <si>
    <t>美里　太郎</t>
    <rPh sb="0" eb="2">
      <t>ミサト</t>
    </rPh>
    <rPh sb="3" eb="5">
      <t>タロウ</t>
    </rPh>
    <phoneticPr fontId="1"/>
  </si>
  <si>
    <t>美里　花子</t>
    <rPh sb="0" eb="2">
      <t>ミサト</t>
    </rPh>
    <rPh sb="3" eb="5">
      <t>ハナコ</t>
    </rPh>
    <phoneticPr fontId="1"/>
  </si>
  <si>
    <t>美里　一郎</t>
    <rPh sb="0" eb="2">
      <t>ミサト</t>
    </rPh>
    <rPh sb="3" eb="5">
      <t>イチロウ</t>
    </rPh>
    <phoneticPr fontId="1"/>
  </si>
  <si>
    <t>美里　太一</t>
    <rPh sb="0" eb="2">
      <t>ミサト</t>
    </rPh>
    <rPh sb="3" eb="5">
      <t>タイチ</t>
    </rPh>
    <phoneticPr fontId="1"/>
  </si>
  <si>
    <t>国保加入期間（月）</t>
    <rPh sb="0" eb="2">
      <t>コクホ</t>
    </rPh>
    <rPh sb="2" eb="4">
      <t>カニュウ</t>
    </rPh>
    <rPh sb="4" eb="6">
      <t>キカン</t>
    </rPh>
    <rPh sb="7" eb="8">
      <t>ツキ</t>
    </rPh>
    <phoneticPr fontId="1"/>
  </si>
  <si>
    <t>※計算結果は概算になります。実際の国保税額とは差異が出る場合がありますので、あらかじめご了承ください。</t>
    <rPh sb="1" eb="3">
      <t>ケイサン</t>
    </rPh>
    <rPh sb="3" eb="5">
      <t>ケッカ</t>
    </rPh>
    <rPh sb="6" eb="8">
      <t>ガイサン</t>
    </rPh>
    <rPh sb="14" eb="16">
      <t>ジッサイ</t>
    </rPh>
    <rPh sb="17" eb="19">
      <t>コクホ</t>
    </rPh>
    <rPh sb="19" eb="20">
      <t>ゼイ</t>
    </rPh>
    <rPh sb="20" eb="21">
      <t>ガク</t>
    </rPh>
    <rPh sb="23" eb="25">
      <t>サイ</t>
    </rPh>
    <rPh sb="26" eb="27">
      <t>デ</t>
    </rPh>
    <rPh sb="28" eb="30">
      <t>バアイ</t>
    </rPh>
    <rPh sb="44" eb="46">
      <t>リョウショウ</t>
    </rPh>
    <phoneticPr fontId="1"/>
  </si>
  <si>
    <t>※未就学児軽減には本試算表は対応していませんので、詳細な計算を希望される場合はお問合せください。</t>
    <rPh sb="1" eb="5">
      <t>ミシュウガクジ</t>
    </rPh>
    <rPh sb="5" eb="7">
      <t>ケイゲン</t>
    </rPh>
    <rPh sb="9" eb="10">
      <t>ホン</t>
    </rPh>
    <rPh sb="10" eb="13">
      <t>シサンヒョウ</t>
    </rPh>
    <rPh sb="14" eb="16">
      <t>タイオウ</t>
    </rPh>
    <rPh sb="25" eb="27">
      <t>ショウサイ</t>
    </rPh>
    <rPh sb="28" eb="30">
      <t>ケイサン</t>
    </rPh>
    <rPh sb="31" eb="33">
      <t>キボウ</t>
    </rPh>
    <rPh sb="36" eb="38">
      <t>バアイ</t>
    </rPh>
    <rPh sb="40" eb="42">
      <t>トイアワ</t>
    </rPh>
    <phoneticPr fontId="1"/>
  </si>
  <si>
    <t>※計算結果は概算になります。実際の国保税額とは差異がでる場合がありますので、あらかじめご了承ください。</t>
    <rPh sb="1" eb="3">
      <t>ケイサン</t>
    </rPh>
    <rPh sb="3" eb="5">
      <t>ケッカ</t>
    </rPh>
    <rPh sb="6" eb="8">
      <t>ガイサン</t>
    </rPh>
    <rPh sb="14" eb="16">
      <t>ジッサイ</t>
    </rPh>
    <rPh sb="17" eb="19">
      <t>コクホ</t>
    </rPh>
    <rPh sb="19" eb="20">
      <t>ゼイ</t>
    </rPh>
    <rPh sb="20" eb="21">
      <t>ガク</t>
    </rPh>
    <rPh sb="23" eb="25">
      <t>サイ</t>
    </rPh>
    <rPh sb="28" eb="30">
      <t>バアイ</t>
    </rPh>
    <rPh sb="44" eb="46">
      <t>リョウショウ</t>
    </rPh>
    <phoneticPr fontId="1"/>
  </si>
  <si>
    <t>A-650000</t>
    <phoneticPr fontId="1"/>
  </si>
  <si>
    <t>子ども・子育てフラグ</t>
    <rPh sb="0" eb="1">
      <t>コ</t>
    </rPh>
    <rPh sb="4" eb="6">
      <t>コソダ</t>
    </rPh>
    <phoneticPr fontId="1"/>
  </si>
  <si>
    <t>令和８年度国民健康保険税額試算シート（会津美里町）</t>
    <rPh sb="0" eb="2">
      <t>レイワ</t>
    </rPh>
    <rPh sb="3" eb="5">
      <t>ネンド</t>
    </rPh>
    <rPh sb="5" eb="7">
      <t>コクミン</t>
    </rPh>
    <rPh sb="7" eb="9">
      <t>ケンコウ</t>
    </rPh>
    <rPh sb="9" eb="11">
      <t>ホケン</t>
    </rPh>
    <rPh sb="11" eb="12">
      <t>ゼイ</t>
    </rPh>
    <rPh sb="12" eb="13">
      <t>ガク</t>
    </rPh>
    <rPh sb="13" eb="15">
      <t>シサン</t>
    </rPh>
    <rPh sb="19" eb="24">
      <t>アイヅミサトマチ</t>
    </rPh>
    <phoneticPr fontId="1"/>
  </si>
  <si>
    <t>令和８年度国保税（年額）</t>
    <rPh sb="0" eb="2">
      <t>レイワ</t>
    </rPh>
    <rPh sb="3" eb="5">
      <t>ネンド</t>
    </rPh>
    <rPh sb="5" eb="7">
      <t>コクホ</t>
    </rPh>
    <rPh sb="7" eb="8">
      <t>ゼイ</t>
    </rPh>
    <rPh sb="9" eb="11">
      <t>ネンガク</t>
    </rPh>
    <phoneticPr fontId="1"/>
  </si>
  <si>
    <t>平等割</t>
  </si>
  <si>
    <t>18歳以上均等割</t>
    <rPh sb="2" eb="5">
      <t>サイイジョウ</t>
    </rPh>
    <rPh sb="5" eb="8">
      <t>キントウワリ</t>
    </rPh>
    <phoneticPr fontId="1"/>
  </si>
  <si>
    <t>子ども子育て支援金分</t>
    <rPh sb="0" eb="1">
      <t>コ</t>
    </rPh>
    <rPh sb="3" eb="5">
      <t>コソダ</t>
    </rPh>
    <rPh sb="6" eb="10">
      <t>シエンキンブン</t>
    </rPh>
    <phoneticPr fontId="1"/>
  </si>
  <si>
    <t>後期高齢者支援分</t>
    <rPh sb="0" eb="5">
      <t>コウキコウレイシャ</t>
    </rPh>
    <rPh sb="5" eb="7">
      <t>シエン</t>
    </rPh>
    <rPh sb="7" eb="8">
      <t>ブン</t>
    </rPh>
    <phoneticPr fontId="1"/>
  </si>
  <si>
    <t>令和８年度国民健康保険税額試算シート（会津美里町）</t>
    <rPh sb="0" eb="1">
      <t>レイ</t>
    </rPh>
    <rPh sb="3" eb="5">
      <t>コクミン</t>
    </rPh>
    <rPh sb="5" eb="7">
      <t>ケンコウ</t>
    </rPh>
    <rPh sb="7" eb="9">
      <t>ホケン</t>
    </rPh>
    <rPh sb="9" eb="10">
      <t>ゼイ</t>
    </rPh>
    <rPh sb="10" eb="11">
      <t>ガク</t>
    </rPh>
    <rPh sb="11" eb="13">
      <t>シサン</t>
    </rPh>
    <rPh sb="17" eb="22">
      <t>アイヅミサトマチ</t>
    </rPh>
    <phoneticPr fontId="1"/>
  </si>
  <si>
    <t>※専従者控除を必要経費にしている場合、譲渡所得の特別控除がある場合、損益通算・繰越控除がある場合はこのシートでは計算できません。</t>
    <rPh sb="1" eb="4">
      <t>センジュウシャ</t>
    </rPh>
    <rPh sb="4" eb="6">
      <t>コウジョ</t>
    </rPh>
    <rPh sb="7" eb="9">
      <t>ヒツヨウ</t>
    </rPh>
    <rPh sb="9" eb="11">
      <t>ケイヒ</t>
    </rPh>
    <rPh sb="16" eb="18">
      <t>バアイ</t>
    </rPh>
    <rPh sb="19" eb="21">
      <t>ジョウト</t>
    </rPh>
    <rPh sb="21" eb="23">
      <t>ショトク</t>
    </rPh>
    <rPh sb="24" eb="28">
      <t>トクベツコウジョ</t>
    </rPh>
    <rPh sb="31" eb="33">
      <t>バアイ</t>
    </rPh>
    <rPh sb="34" eb="36">
      <t>ソンエキ</t>
    </rPh>
    <rPh sb="36" eb="38">
      <t>ツウサン</t>
    </rPh>
    <rPh sb="39" eb="41">
      <t>クリコシ</t>
    </rPh>
    <rPh sb="41" eb="43">
      <t>コウジョ</t>
    </rPh>
    <rPh sb="46" eb="48">
      <t>バアイ</t>
    </rPh>
    <rPh sb="56" eb="58">
      <t>ケイサン</t>
    </rPh>
    <phoneticPr fontId="1"/>
  </si>
  <si>
    <t>【注意3】昭和36年1月1日以前に生まれた方は65歳以上、昭和36年1月2日以後に生まれた方は65歳未満になります。</t>
    <rPh sb="1" eb="3">
      <t>チュウイ</t>
    </rPh>
    <rPh sb="5" eb="7">
      <t>ショウワ</t>
    </rPh>
    <rPh sb="9" eb="10">
      <t>ネン</t>
    </rPh>
    <rPh sb="11" eb="12">
      <t>ガツ</t>
    </rPh>
    <rPh sb="13" eb="14">
      <t>ニチ</t>
    </rPh>
    <rPh sb="14" eb="16">
      <t>イゼン</t>
    </rPh>
    <rPh sb="17" eb="18">
      <t>ウ</t>
    </rPh>
    <rPh sb="21" eb="22">
      <t>カタ</t>
    </rPh>
    <rPh sb="25" eb="26">
      <t>サイ</t>
    </rPh>
    <rPh sb="26" eb="28">
      <t>イジョウ</t>
    </rPh>
    <rPh sb="29" eb="31">
      <t>ショウワ</t>
    </rPh>
    <rPh sb="33" eb="34">
      <t>ネン</t>
    </rPh>
    <rPh sb="35" eb="36">
      <t>ガツ</t>
    </rPh>
    <rPh sb="37" eb="38">
      <t>ニチ</t>
    </rPh>
    <rPh sb="38" eb="40">
      <t>イゴ</t>
    </rPh>
    <rPh sb="41" eb="42">
      <t>ウ</t>
    </rPh>
    <rPh sb="45" eb="46">
      <t>カタ</t>
    </rPh>
    <rPh sb="49" eb="50">
      <t>サイ</t>
    </rPh>
    <rPh sb="50" eb="52">
      <t>ミマン</t>
    </rPh>
    <phoneticPr fontId="1"/>
  </si>
  <si>
    <t>所得金額調整控除後の給与所得</t>
    <phoneticPr fontId="1"/>
  </si>
  <si>
    <t>総所得金額</t>
    <rPh sb="0" eb="5">
      <t>ソウショトクキンガク</t>
    </rPh>
    <phoneticPr fontId="1"/>
  </si>
  <si>
    <t>軽減用所得</t>
    <rPh sb="0" eb="3">
      <t>ケイゲンヨウ</t>
    </rPh>
    <rPh sb="3" eb="5">
      <t>ショトク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</si>
</sst>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&quot;円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Protection="1">
      <alignment vertical="center"/>
      <protection locked="0"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176" fontId="0" fillId="2" borderId="1" xfId="0" applyNumberFormat="1" applyFill="1" applyBorder="1" applyProtection="1">
      <alignment vertical="center"/>
      <protection locked="0" hidden="1"/>
    </xf>
    <xf numFmtId="0" fontId="0" fillId="2" borderId="1" xfId="0" applyFill="1" applyBorder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176" fontId="0" fillId="2" borderId="1" xfId="0" applyNumberFormat="1" applyFill="1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76" fontId="0" fillId="0" borderId="1" xfId="0" applyNumberFormat="1" applyBorder="1" applyAlignment="1" applyProtection="1">
      <alignment horizontal="center" vertical="center"/>
      <protection hidden="1"/>
    </xf>
    <xf numFmtId="0" fontId="4" fillId="0" borderId="12" xfId="0" applyFont="1" applyBorder="1">
      <alignment vertical="center"/>
    </xf>
    <xf numFmtId="0" fontId="0" fillId="0" borderId="13" xfId="0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17" xfId="0" applyFill="1" applyBorder="1" applyAlignment="1" applyProtection="1">
      <alignment horizontal="center" vertical="center"/>
      <protection hidden="1"/>
    </xf>
    <xf numFmtId="176" fontId="0" fillId="0" borderId="16" xfId="0" applyNumberFormat="1" applyBorder="1" applyProtection="1">
      <alignment vertical="center"/>
      <protection hidden="1"/>
    </xf>
    <xf numFmtId="0" fontId="0" fillId="0" borderId="18" xfId="0" applyBorder="1" applyAlignment="1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176" fontId="0" fillId="0" borderId="0" xfId="0" applyNumberFormat="1" applyBorder="1" applyProtection="1">
      <alignment vertical="center"/>
      <protection hidden="1"/>
    </xf>
    <xf numFmtId="176" fontId="0" fillId="0" borderId="19" xfId="0" applyNumberFormat="1" applyBorder="1" applyProtection="1">
      <alignment vertical="center"/>
      <protection hidden="1"/>
    </xf>
    <xf numFmtId="0" fontId="0" fillId="0" borderId="18" xfId="0" applyBorder="1" applyProtection="1">
      <alignment vertical="center"/>
      <protection hidden="1"/>
    </xf>
    <xf numFmtId="0" fontId="0" fillId="0" borderId="20" xfId="0" applyBorder="1" applyProtection="1">
      <alignment vertical="center"/>
      <protection hidden="1"/>
    </xf>
    <xf numFmtId="0" fontId="0" fillId="0" borderId="21" xfId="0" applyBorder="1" applyProtection="1">
      <alignment vertical="center"/>
      <protection hidden="1"/>
    </xf>
    <xf numFmtId="176" fontId="0" fillId="0" borderId="21" xfId="0" applyNumberFormat="1" applyBorder="1" applyProtection="1">
      <alignment vertical="center"/>
      <protection hidden="1"/>
    </xf>
    <xf numFmtId="176" fontId="0" fillId="0" borderId="22" xfId="0" applyNumberFormat="1" applyBorder="1" applyProtection="1">
      <alignment vertical="center"/>
      <protection hidden="1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vertical="center"/>
    </xf>
    <xf numFmtId="0" fontId="4" fillId="0" borderId="12" xfId="0" applyFont="1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176" fontId="0" fillId="0" borderId="13" xfId="0" applyNumberFormat="1" applyBorder="1" applyProtection="1">
      <alignment vertical="center"/>
      <protection hidden="1"/>
    </xf>
    <xf numFmtId="176" fontId="0" fillId="0" borderId="14" xfId="0" applyNumberFormat="1" applyBorder="1" applyProtection="1">
      <alignment vertical="center"/>
      <protection hidden="1"/>
    </xf>
    <xf numFmtId="176" fontId="0" fillId="0" borderId="0" xfId="0" applyNumberFormat="1" applyBorder="1" applyAlignment="1" applyProtection="1">
      <alignment horizontal="center" vertical="center"/>
      <protection hidden="1"/>
    </xf>
    <xf numFmtId="176" fontId="3" fillId="3" borderId="0" xfId="0" applyNumberFormat="1" applyFont="1" applyFill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4" xfId="0" applyNumberForma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4" borderId="1" xfId="0" applyNumberFormat="1" applyFill="1" applyBorder="1">
      <alignment vertical="center"/>
    </xf>
    <xf numFmtId="176" fontId="0" fillId="5" borderId="1" xfId="0" applyNumberFormat="1" applyFill="1" applyBorder="1">
      <alignment vertical="center"/>
    </xf>
    <xf numFmtId="176" fontId="0" fillId="6" borderId="1" xfId="0" applyNumberFormat="1" applyFill="1" applyBorder="1">
      <alignment vertical="center"/>
    </xf>
    <xf numFmtId="176" fontId="0" fillId="7" borderId="1" xfId="0" applyNumberFormat="1" applyFill="1" applyBorder="1">
      <alignment vertical="center"/>
    </xf>
    <xf numFmtId="0" fontId="0" fillId="7" borderId="1" xfId="0" applyFill="1" applyBorder="1" applyAlignment="1">
      <alignment horizontal="center" vertical="center"/>
    </xf>
    <xf numFmtId="0" fontId="0" fillId="8" borderId="0" xfId="0" applyFill="1">
      <alignment vertical="center"/>
    </xf>
    <xf numFmtId="176" fontId="0" fillId="0" borderId="0" xfId="0" applyNumberFormat="1" applyAlignment="1">
      <alignment vertical="center" shrinkToFit="1"/>
    </xf>
    <xf numFmtId="176" fontId="0" fillId="6" borderId="0" xfId="0" applyNumberFormat="1" applyFill="1">
      <alignment vertical="center"/>
    </xf>
    <xf numFmtId="176" fontId="0" fillId="7" borderId="1" xfId="0" applyNumberFormat="1" applyFill="1" applyBorder="1" applyAlignment="1">
      <alignment horizontal="center" vertical="center"/>
    </xf>
    <xf numFmtId="176" fontId="0" fillId="6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176" fontId="0" fillId="4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 applyProtection="1">
      <alignment horizontal="center" vertical="center"/>
      <protection hidden="1"/>
    </xf>
    <xf numFmtId="176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176" fontId="0" fillId="4" borderId="1" xfId="0" applyNumberFormat="1" applyFill="1" applyBorder="1" applyAlignment="1">
      <alignment horizontal="center" vertical="center"/>
    </xf>
    <xf numFmtId="176" fontId="0" fillId="5" borderId="9" xfId="0" applyNumberFormat="1" applyFill="1" applyBorder="1" applyAlignment="1">
      <alignment horizontal="center" vertical="center"/>
    </xf>
    <xf numFmtId="176" fontId="0" fillId="5" borderId="10" xfId="0" applyNumberFormat="1" applyFill="1" applyBorder="1" applyAlignment="1">
      <alignment horizontal="center" vertical="center"/>
    </xf>
    <xf numFmtId="176" fontId="0" fillId="5" borderId="11" xfId="0" applyNumberFormat="1" applyFill="1" applyBorder="1" applyAlignment="1">
      <alignment horizontal="center" vertical="center"/>
    </xf>
    <xf numFmtId="176" fontId="0" fillId="0" borderId="1" xfId="0" applyNumberFormat="1" applyBorder="1" applyAlignment="1" applyProtection="1">
      <alignment horizontal="center" vertical="center"/>
      <protection hidden="1"/>
    </xf>
    <xf numFmtId="176" fontId="0" fillId="0" borderId="16" xfId="0" applyNumberFormat="1" applyBorder="1" applyAlignment="1" applyProtection="1">
      <alignment horizontal="center" vertical="center"/>
      <protection hidden="1"/>
    </xf>
    <xf numFmtId="176" fontId="0" fillId="5" borderId="1" xfId="0" applyNumberFormat="1" applyFill="1" applyBorder="1" applyAlignment="1">
      <alignment horizontal="center" vertical="center"/>
    </xf>
    <xf numFmtId="0" fontId="0" fillId="0" borderId="23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24" xfId="0" applyBorder="1" applyAlignment="1" applyProtection="1">
      <alignment horizontal="left" vertical="center" shrinkToFit="1"/>
      <protection hidden="1"/>
    </xf>
    <xf numFmtId="176" fontId="0" fillId="7" borderId="1" xfId="0" applyNumberFormat="1" applyFill="1" applyBorder="1" applyAlignment="1">
      <alignment horizontal="center" vertical="center"/>
    </xf>
    <xf numFmtId="176" fontId="0" fillId="6" borderId="9" xfId="0" applyNumberFormat="1" applyFill="1" applyBorder="1" applyAlignment="1">
      <alignment horizontal="center" vertical="center"/>
    </xf>
    <xf numFmtId="176" fontId="0" fillId="6" borderId="10" xfId="0" applyNumberFormat="1" applyFill="1" applyBorder="1" applyAlignment="1">
      <alignment horizontal="center" vertical="center"/>
    </xf>
    <xf numFmtId="176" fontId="0" fillId="6" borderId="11" xfId="0" applyNumberForma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shrinkToFit="1"/>
      <protection hidden="1"/>
    </xf>
    <xf numFmtId="177" fontId="2" fillId="0" borderId="1" xfId="0" applyNumberFormat="1" applyFont="1" applyBorder="1" applyAlignment="1" applyProtection="1">
      <alignment horizontal="center" vertical="center"/>
      <protection hidden="1"/>
    </xf>
    <xf numFmtId="176" fontId="0" fillId="6" borderId="1" xfId="0" applyNumberForma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</xdr:row>
      <xdr:rowOff>9525</xdr:rowOff>
    </xdr:from>
    <xdr:to>
      <xdr:col>17</xdr:col>
      <xdr:colOff>1123950</xdr:colOff>
      <xdr:row>4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76275" y="619125"/>
          <a:ext cx="8505825" cy="295275"/>
        </a:xfrm>
        <a:prstGeom prst="roundRect">
          <a:avLst/>
        </a:prstGeom>
        <a:noFill/>
        <a:ln w="57150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238126</xdr:colOff>
      <xdr:row>4</xdr:row>
      <xdr:rowOff>66675</xdr:rowOff>
    </xdr:from>
    <xdr:to>
      <xdr:col>14</xdr:col>
      <xdr:colOff>295275</xdr:colOff>
      <xdr:row>5</xdr:row>
      <xdr:rowOff>257175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267076" y="981075"/>
          <a:ext cx="2495549" cy="495300"/>
        </a:xfrm>
        <a:prstGeom prst="roundRect">
          <a:avLst/>
        </a:prstGeom>
        <a:noFill/>
        <a:ln w="57150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28575</xdr:colOff>
      <xdr:row>1</xdr:row>
      <xdr:rowOff>47625</xdr:rowOff>
    </xdr:from>
    <xdr:to>
      <xdr:col>18</xdr:col>
      <xdr:colOff>9525</xdr:colOff>
      <xdr:row>2</xdr:row>
      <xdr:rowOff>238125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800725" y="47625"/>
          <a:ext cx="3409950" cy="495300"/>
        </a:xfrm>
        <a:prstGeom prst="roundRect">
          <a:avLst/>
        </a:prstGeom>
        <a:noFill/>
        <a:ln w="57150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333375</xdr:colOff>
      <xdr:row>4</xdr:row>
      <xdr:rowOff>42863</xdr:rowOff>
    </xdr:from>
    <xdr:to>
      <xdr:col>1</xdr:col>
      <xdr:colOff>333375</xdr:colOff>
      <xdr:row>7</xdr:row>
      <xdr:rowOff>171450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V="1">
          <a:off x="1019175" y="957263"/>
          <a:ext cx="0" cy="104298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7</xdr:row>
      <xdr:rowOff>19049</xdr:rowOff>
    </xdr:from>
    <xdr:to>
      <xdr:col>11</xdr:col>
      <xdr:colOff>152400</xdr:colOff>
      <xdr:row>8</xdr:row>
      <xdr:rowOff>219074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7625" y="1847849"/>
          <a:ext cx="4657725" cy="5048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世帯主が国保加入でない場合の入力例です。</a:t>
          </a:r>
          <a:endParaRPr kumimoji="1" lang="en-US" altLang="ja-JP" sz="1100"/>
        </a:p>
        <a:p>
          <a:r>
            <a:rPr kumimoji="1" lang="ja-JP" altLang="en-US" sz="1100"/>
            <a:t>国保加入期間は入力せずに、それ以外の情報を入力してください。</a:t>
          </a:r>
        </a:p>
      </xdr:txBody>
    </xdr:sp>
    <xdr:clientData/>
  </xdr:twoCellAnchor>
  <xdr:twoCellAnchor>
    <xdr:from>
      <xdr:col>13</xdr:col>
      <xdr:colOff>190500</xdr:colOff>
      <xdr:row>5</xdr:row>
      <xdr:rowOff>257175</xdr:rowOff>
    </xdr:from>
    <xdr:to>
      <xdr:col>13</xdr:col>
      <xdr:colOff>190500</xdr:colOff>
      <xdr:row>9</xdr:row>
      <xdr:rowOff>80962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5353050" y="1476375"/>
          <a:ext cx="0" cy="104298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19050</xdr:rowOff>
    </xdr:from>
    <xdr:to>
      <xdr:col>16</xdr:col>
      <xdr:colOff>962025</xdr:colOff>
      <xdr:row>10</xdr:row>
      <xdr:rowOff>85725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333750" y="2457450"/>
          <a:ext cx="4543425" cy="3714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国保に加入する期間について、プルダウンから</a:t>
          </a:r>
          <a:r>
            <a:rPr kumimoji="1" lang="en-US" altLang="ja-JP" sz="1100"/>
            <a:t>『</a:t>
          </a:r>
          <a:r>
            <a:rPr kumimoji="1" lang="ja-JP" altLang="en-US" sz="1100"/>
            <a:t>○</a:t>
          </a:r>
          <a:r>
            <a:rPr kumimoji="1" lang="en-US" altLang="ja-JP" sz="1100"/>
            <a:t>』</a:t>
          </a:r>
          <a:r>
            <a:rPr kumimoji="1" lang="ja-JP" altLang="en-US" sz="1100"/>
            <a:t>を入力してください。</a:t>
          </a:r>
          <a:endParaRPr kumimoji="1" lang="en-US" altLang="ja-JP" sz="1100"/>
        </a:p>
      </xdr:txBody>
    </xdr:sp>
    <xdr:clientData/>
  </xdr:twoCellAnchor>
  <xdr:twoCellAnchor>
    <xdr:from>
      <xdr:col>18</xdr:col>
      <xdr:colOff>47625</xdr:colOff>
      <xdr:row>2</xdr:row>
      <xdr:rowOff>114300</xdr:rowOff>
    </xdr:from>
    <xdr:to>
      <xdr:col>18</xdr:col>
      <xdr:colOff>619127</xdr:colOff>
      <xdr:row>10</xdr:row>
      <xdr:rowOff>295277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H="1" flipV="1">
          <a:off x="9248775" y="419100"/>
          <a:ext cx="571502" cy="261937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10</xdr:row>
      <xdr:rowOff>257175</xdr:rowOff>
    </xdr:from>
    <xdr:to>
      <xdr:col>18</xdr:col>
      <xdr:colOff>695325</xdr:colOff>
      <xdr:row>12</xdr:row>
      <xdr:rowOff>257175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486400" y="3314700"/>
          <a:ext cx="4410075" cy="609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給与と年金は</a:t>
          </a:r>
          <a:r>
            <a:rPr kumimoji="1" lang="en-US" altLang="ja-JP" sz="1100"/>
            <a:t>『</a:t>
          </a:r>
          <a:r>
            <a:rPr kumimoji="1" lang="ja-JP" altLang="en-US" sz="1100"/>
            <a:t>収入</a:t>
          </a:r>
          <a:r>
            <a:rPr kumimoji="1" lang="en-US" altLang="ja-JP" sz="1100"/>
            <a:t>』</a:t>
          </a:r>
          <a:r>
            <a:rPr kumimoji="1" lang="ja-JP" altLang="en-US" sz="1100"/>
            <a:t>を入力し、その他は</a:t>
          </a:r>
          <a:r>
            <a:rPr kumimoji="1" lang="en-US" altLang="ja-JP" sz="1100"/>
            <a:t>『</a:t>
          </a:r>
          <a:r>
            <a:rPr kumimoji="1" lang="ja-JP" altLang="en-US" sz="1100"/>
            <a:t>所得</a:t>
          </a:r>
          <a:r>
            <a:rPr kumimoji="1" lang="en-US" altLang="ja-JP" sz="1100"/>
            <a:t>』</a:t>
          </a:r>
          <a:r>
            <a:rPr kumimoji="1" lang="ja-JP" altLang="en-US" sz="1100"/>
            <a:t>を入力してください。</a:t>
          </a:r>
          <a:endParaRPr kumimoji="1" lang="en-US" altLang="ja-JP" sz="1100"/>
        </a:p>
        <a:p>
          <a:r>
            <a:rPr kumimoji="1" lang="ja-JP" altLang="en-US" sz="1100"/>
            <a:t>入力の際は、申告書（写）や源泉徴収票等を参考にしてください。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5"/>
  <sheetViews>
    <sheetView tabSelected="1" zoomScaleNormal="100" zoomScaleSheetLayoutView="100" workbookViewId="0">
      <selection activeCell="B4" sqref="B4"/>
    </sheetView>
  </sheetViews>
  <sheetFormatPr defaultRowHeight="24" customHeight="1" outlineLevelRow="1" outlineLevelCol="1" x14ac:dyDescent="0.2"/>
  <cols>
    <col min="1" max="1" width="9.33203125" customWidth="1"/>
    <col min="2" max="2" width="14.77734375" customWidth="1"/>
    <col min="3" max="3" width="6.77734375" customWidth="1"/>
    <col min="4" max="15" width="4.33203125" customWidth="1"/>
    <col min="16" max="19" width="14.77734375" style="1" customWidth="1"/>
    <col min="20" max="20" width="19.6640625" style="1" hidden="1" customWidth="1" outlineLevel="1"/>
    <col min="21" max="21" width="13.44140625" style="1" hidden="1" customWidth="1" outlineLevel="1"/>
    <col min="22" max="22" width="10.6640625" style="1" hidden="1" customWidth="1" outlineLevel="1"/>
    <col min="23" max="23" width="17.21875" style="1" hidden="1" customWidth="1" outlineLevel="1"/>
    <col min="24" max="25" width="11.6640625" style="1" hidden="1" customWidth="1" outlineLevel="1"/>
    <col min="26" max="26" width="13.44140625" style="1" hidden="1" customWidth="1" outlineLevel="1"/>
    <col min="27" max="27" width="11.6640625" style="1" hidden="1" customWidth="1" outlineLevel="1"/>
    <col min="28" max="28" width="11.109375" style="1" hidden="1" customWidth="1" outlineLevel="1"/>
    <col min="29" max="29" width="16.21875" style="1" hidden="1" customWidth="1" outlineLevel="1"/>
    <col min="30" max="31" width="11.109375" style="1" hidden="1" customWidth="1" outlineLevel="1"/>
    <col min="32" max="32" width="15.6640625" style="1" hidden="1" customWidth="1" outlineLevel="1"/>
    <col min="33" max="33" width="12.77734375" hidden="1" customWidth="1" outlineLevel="1"/>
    <col min="34" max="34" width="13.77734375" hidden="1" customWidth="1" outlineLevel="1"/>
    <col min="35" max="35" width="14.6640625" hidden="1" customWidth="1" outlineLevel="1"/>
    <col min="36" max="36" width="11" hidden="1" customWidth="1" outlineLevel="1"/>
    <col min="37" max="37" width="8.88671875" collapsed="1"/>
  </cols>
  <sheetData>
    <row r="1" spans="1:35" ht="24" customHeight="1" x14ac:dyDescent="0.2">
      <c r="A1" s="20" t="s">
        <v>53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  <c r="Q1" s="22"/>
      <c r="R1" s="22"/>
      <c r="S1" s="23"/>
      <c r="T1" s="6"/>
    </row>
    <row r="2" spans="1:35" ht="24" customHeight="1" x14ac:dyDescent="0.2">
      <c r="A2" s="62"/>
      <c r="B2" s="61" t="s">
        <v>5</v>
      </c>
      <c r="C2" s="61" t="s">
        <v>0</v>
      </c>
      <c r="D2" s="61" t="s">
        <v>47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7" t="s">
        <v>35</v>
      </c>
      <c r="Q2" s="67"/>
      <c r="R2" s="67"/>
      <c r="S2" s="68" t="s">
        <v>4</v>
      </c>
      <c r="T2" s="42"/>
    </row>
    <row r="3" spans="1:35" ht="24" customHeight="1" x14ac:dyDescent="0.2">
      <c r="A3" s="62"/>
      <c r="B3" s="61"/>
      <c r="C3" s="61"/>
      <c r="D3" s="57">
        <v>4</v>
      </c>
      <c r="E3" s="57">
        <v>5</v>
      </c>
      <c r="F3" s="57">
        <v>6</v>
      </c>
      <c r="G3" s="57">
        <v>7</v>
      </c>
      <c r="H3" s="57">
        <v>8</v>
      </c>
      <c r="I3" s="57">
        <v>9</v>
      </c>
      <c r="J3" s="57">
        <v>10</v>
      </c>
      <c r="K3" s="57">
        <v>11</v>
      </c>
      <c r="L3" s="57">
        <v>12</v>
      </c>
      <c r="M3" s="57">
        <v>1</v>
      </c>
      <c r="N3" s="57">
        <v>2</v>
      </c>
      <c r="O3" s="57">
        <v>3</v>
      </c>
      <c r="P3" s="59" t="s">
        <v>17</v>
      </c>
      <c r="Q3" s="59" t="s">
        <v>18</v>
      </c>
      <c r="R3" s="59" t="s">
        <v>3</v>
      </c>
      <c r="S3" s="68"/>
      <c r="T3" s="42" t="s">
        <v>52</v>
      </c>
      <c r="U3" s="1" t="s">
        <v>12</v>
      </c>
      <c r="V3" s="1" t="s">
        <v>6</v>
      </c>
      <c r="W3" s="1" t="s">
        <v>1</v>
      </c>
      <c r="X3" s="53" t="s">
        <v>62</v>
      </c>
      <c r="Y3" s="1" t="s">
        <v>31</v>
      </c>
      <c r="Z3" s="1" t="s">
        <v>32</v>
      </c>
      <c r="AA3" s="1" t="s">
        <v>3</v>
      </c>
      <c r="AB3" s="1" t="s">
        <v>42</v>
      </c>
      <c r="AC3" s="54" t="s">
        <v>63</v>
      </c>
      <c r="AD3" s="1" t="s">
        <v>64</v>
      </c>
      <c r="AE3" s="2" t="s">
        <v>28</v>
      </c>
      <c r="AF3" s="3"/>
      <c r="AG3" s="3">
        <v>650999</v>
      </c>
      <c r="AH3" s="3"/>
      <c r="AI3" s="4">
        <v>650000</v>
      </c>
    </row>
    <row r="4" spans="1:35" ht="24" customHeight="1" x14ac:dyDescent="0.2">
      <c r="A4" s="24" t="s">
        <v>2</v>
      </c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4"/>
      <c r="R4" s="14"/>
      <c r="S4" s="25">
        <f>COUNTA(D4:O4)</f>
        <v>0</v>
      </c>
      <c r="T4" s="28">
        <f>IF(AND(C4&gt;17),S4,0)</f>
        <v>0</v>
      </c>
      <c r="U4" s="1">
        <f>IF(AND(65&gt;C4,C4&gt;39),S4,0)</f>
        <v>0</v>
      </c>
      <c r="V4" s="1">
        <f>IF(SUM(W4:Z4)&gt;0,1,0)</f>
        <v>0</v>
      </c>
      <c r="W4" s="36" cm="1">
        <f t="array" ref="W4">_xlfn.IFS(
    P4="", 0,
    P4&lt;=1900000, MAX(0, P4-650000),
    P4&lt;=3600000, FLOOR(P4/4, 1000)*2.8-80000,
    P4&lt;=6600000, FLOOR(P4/4, 1000)*3.2-440000,
    P4&lt;=8500000, P4*0.9-1100000,
    P4&gt;8500000, P4-1950000
)</f>
        <v>0</v>
      </c>
      <c r="X4" s="1">
        <f>W4-MAX(0,MIN(W4,100000)+MIN(Y4+Z4,100000)-100000)</f>
        <v>0</v>
      </c>
      <c r="Y4" s="1">
        <f>MAX(IF(C4&gt;=65,Q4-IF(Q4&lt;=$AG$10,$AI$10,IF(Q4&lt;=$AG$11,(Q4*0.25+275000),IF(Q4&lt;=$AG$12,(Q4*0.15+685000),IF(Q4&lt;=$AG$13,(Q4*0.05+1455000),$AI$14)))),),)</f>
        <v>0</v>
      </c>
      <c r="Z4" s="1">
        <f>MAX(IF(AND(C4&gt;=60,C4&lt;65),Q4-IF(Q4&lt;=$AG$16,$AI$16,IF(Q4&lt;=$AG$17,(Q4*0.25+275000),IF(Q4&lt;=$AG$18,(Q4*0.15+685000),IF(Q4&lt;=$AG$19,(Q4*0.05+1455000),$AI$20)))),),)</f>
        <v>0</v>
      </c>
      <c r="AA4" s="1">
        <f>R4</f>
        <v>0</v>
      </c>
      <c r="AB4" s="1">
        <f>IF(Y4-150000&lt;0,0,Y4-150000)</f>
        <v>0</v>
      </c>
      <c r="AC4" s="54">
        <f>IF(X4&lt;&gt;"0",X4,W4)+SUM(Y4:AA4)</f>
        <v>0</v>
      </c>
      <c r="AD4" s="1">
        <f>IF(X4&lt;&gt;"0",X4,W4)+SUM(Z4:AB4)</f>
        <v>0</v>
      </c>
      <c r="AE4" s="5">
        <v>651000</v>
      </c>
      <c r="AF4" s="6"/>
      <c r="AG4" s="6">
        <v>1899999</v>
      </c>
      <c r="AH4" s="6"/>
      <c r="AI4" s="7" t="s">
        <v>51</v>
      </c>
    </row>
    <row r="5" spans="1:35" ht="24" customHeight="1" x14ac:dyDescent="0.2">
      <c r="A5" s="24" t="s">
        <v>36</v>
      </c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  <c r="Q5" s="14"/>
      <c r="R5" s="14"/>
      <c r="S5" s="25">
        <f t="shared" ref="S5:S8" si="0">COUNTA(D5:O5)</f>
        <v>0</v>
      </c>
      <c r="T5" s="28">
        <f>IF(AND(C5&gt;17),S5,0)</f>
        <v>0</v>
      </c>
      <c r="U5" s="1">
        <f>IF(AND(65&gt;C5,C5&gt;39),S5,0)</f>
        <v>0</v>
      </c>
      <c r="V5" s="1">
        <f>IF(SUM(W5:Z5)&gt;0,1,0)</f>
        <v>0</v>
      </c>
      <c r="W5" s="36" cm="1">
        <f t="array" ref="W5">_xlfn.IFS(
    P5="", 0,
    P5&lt;=1900000, MAX(0, P5-650000),
    P5&lt;=3600000, FLOOR(P5/4, 1000)*2.8-80000,
    P5&lt;=6600000, FLOOR(P5/4, 1000)*3.2-440000,
    P5&lt;=8500000, P5*0.9-1100000,
    P5&gt;8500000, P5-1950000
)</f>
        <v>0</v>
      </c>
      <c r="X5" s="1">
        <f t="shared" ref="X5:X8" si="1">W5-MAX(0,MIN(W5,100000)+MIN(Y5+Z5,100000)-100000)</f>
        <v>0</v>
      </c>
      <c r="Y5" s="1">
        <f>MAX(IF(C5&gt;=65,Q5-IF(Q5&lt;=$AG$10,$AI$10,IF(Q5&lt;=$AG$11,(Q5*0.25+275000),IF(Q5&lt;=$AG$12,(Q5*0.15+685000),IF(Q5&lt;=$AG$13,(Q5*0.05+1455000),$AI$14)))),),)</f>
        <v>0</v>
      </c>
      <c r="Z5" s="1">
        <f>MAX(IF(AND(C5&gt;=60,C5&lt;65),Q5-IF(Q5&lt;=$AG$16,$AI$16,IF(Q5&lt;=$AG$17,(Q5*0.25+275000),IF(Q5&lt;=$AG$18,(Q5*0.15+685000),IF(Q5&lt;=$AG$19,(Q5*0.05+1455000),$AI$20)))),),)</f>
        <v>0</v>
      </c>
      <c r="AA5" s="1">
        <f>R5</f>
        <v>0</v>
      </c>
      <c r="AB5" s="1">
        <f t="shared" ref="AB5:AB8" si="2">IF(Y5-150000&lt;0,0,Y5-150000)</f>
        <v>0</v>
      </c>
      <c r="AC5" s="54">
        <f t="shared" ref="AC5:AC8" si="3">IF(X5&lt;&gt;"0",X5,W5)+SUM(Y5:AA5)</f>
        <v>0</v>
      </c>
      <c r="AD5" s="1">
        <f>IF(X5&lt;&gt;"0",X5,W5)+SUM(Z5:AB5)</f>
        <v>0</v>
      </c>
      <c r="AE5" s="5">
        <v>1900000</v>
      </c>
      <c r="AF5" s="6"/>
      <c r="AG5" s="6">
        <v>3599999</v>
      </c>
      <c r="AH5" s="6"/>
      <c r="AI5" s="7" t="s">
        <v>19</v>
      </c>
    </row>
    <row r="6" spans="1:35" ht="24" customHeight="1" x14ac:dyDescent="0.2">
      <c r="A6" s="24" t="s">
        <v>37</v>
      </c>
      <c r="B6" s="12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  <c r="Q6" s="14"/>
      <c r="R6" s="14"/>
      <c r="S6" s="25">
        <f t="shared" si="0"/>
        <v>0</v>
      </c>
      <c r="T6" s="28">
        <f>IF(AND(C6&gt;17),S6,0)</f>
        <v>0</v>
      </c>
      <c r="U6" s="1">
        <f>IF(AND(65&gt;C6,C6&gt;39),S6,0)</f>
        <v>0</v>
      </c>
      <c r="V6" s="1">
        <f>IF(SUM(W6:Z6)&gt;0,1,0)</f>
        <v>0</v>
      </c>
      <c r="W6" s="36" cm="1">
        <f t="array" ref="W6">_xlfn.IFS(
    P6="", 0,
    P6&lt;=1900000, MAX(0, P6-650000),
    P6&lt;=3600000, FLOOR(P6/4, 1000)*2.8-80000,
    P6&lt;=6600000, FLOOR(P6/4, 1000)*3.2-440000,
    P6&lt;=8500000, P6*0.9-1100000,
    P6&gt;8500000, P6-1950000
)</f>
        <v>0</v>
      </c>
      <c r="X6" s="1">
        <f t="shared" si="1"/>
        <v>0</v>
      </c>
      <c r="Y6" s="1">
        <f>MAX(IF(C6&gt;=65,Q6-IF(Q6&lt;=$AG$10,$AI$10,IF(Q6&lt;=$AG$11,(Q6*0.25+275000),IF(Q6&lt;=$AG$12,(Q6*0.15+685000),IF(Q6&lt;=$AG$13,(Q6*0.05+1455000),$AI$14)))),),)</f>
        <v>0</v>
      </c>
      <c r="Z6" s="1">
        <f>MAX(IF(AND(C6&gt;=60,C6&lt;65),Q6-IF(Q6&lt;=$AG$16,$AI$16,IF(Q6&lt;=$AG$17,(Q6*0.25+275000),IF(Q6&lt;=$AG$18,(Q6*0.15+685000),IF(Q6&lt;=$AG$19,(Q6*0.05+1455000),$AI$20)))),),)</f>
        <v>0</v>
      </c>
      <c r="AA6" s="1">
        <f>R6</f>
        <v>0</v>
      </c>
      <c r="AB6" s="1">
        <f t="shared" si="2"/>
        <v>0</v>
      </c>
      <c r="AC6" s="54">
        <f t="shared" si="3"/>
        <v>0</v>
      </c>
      <c r="AD6" s="1">
        <f t="shared" ref="AD6:AD8" si="4">IF(X6&lt;&gt;"0",X6,W6)+SUM(Z6:AB6)</f>
        <v>0</v>
      </c>
      <c r="AE6" s="5">
        <v>3600000</v>
      </c>
      <c r="AF6" s="6"/>
      <c r="AG6" s="6">
        <v>6599999</v>
      </c>
      <c r="AH6" s="6"/>
      <c r="AI6" s="7" t="s">
        <v>20</v>
      </c>
    </row>
    <row r="7" spans="1:35" ht="24" customHeight="1" x14ac:dyDescent="0.2">
      <c r="A7" s="24" t="s">
        <v>38</v>
      </c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/>
      <c r="Q7" s="14"/>
      <c r="R7" s="14"/>
      <c r="S7" s="25">
        <f t="shared" si="0"/>
        <v>0</v>
      </c>
      <c r="T7" s="28">
        <f>IF(AND(C7&gt;17),S7,0)</f>
        <v>0</v>
      </c>
      <c r="U7" s="1">
        <f>IF(AND(65&gt;C7,C7&gt;39),S7,0)</f>
        <v>0</v>
      </c>
      <c r="V7" s="1">
        <f>IF(SUM(W7:Z7)&gt;0,1,0)</f>
        <v>0</v>
      </c>
      <c r="W7" s="36" cm="1">
        <f t="array" ref="W7">_xlfn.IFS(
    P7="", 0,
    P7&lt;=1900000, MAX(0, P7-650000),
    P7&lt;=3600000, FLOOR(P7/4, 1000)*2.8-80000,
    P7&lt;=6600000, FLOOR(P7/4, 1000)*3.2-440000,
    P7&lt;=8500000, P7*0.9-1100000,
    P7&gt;8500000, P7-1950000
)</f>
        <v>0</v>
      </c>
      <c r="X7" s="1">
        <f t="shared" si="1"/>
        <v>0</v>
      </c>
      <c r="Y7" s="1">
        <f>MAX(IF(C7&gt;=65,Q7-IF(Q7&lt;=$AG$10,$AI$10,IF(Q7&lt;=$AG$11,(Q7*0.25+275000),IF(Q7&lt;=$AG$12,(Q7*0.15+685000),IF(Q7&lt;=$AG$13,(Q7*0.05+1455000),$AI$14)))),),)</f>
        <v>0</v>
      </c>
      <c r="Z7" s="1">
        <f>MAX(IF(AND(C7&gt;=60,C7&lt;65),Q7-IF(Q7&lt;=$AG$16,$AI$16,IF(Q7&lt;=$AG$17,(Q7*0.25+275000),IF(Q7&lt;=$AG$18,(Q7*0.15+685000),IF(Q7&lt;=$AG$19,(Q7*0.05+1455000),$AI$20)))),),)</f>
        <v>0</v>
      </c>
      <c r="AA7" s="1">
        <f>R7</f>
        <v>0</v>
      </c>
      <c r="AB7" s="1">
        <f t="shared" si="2"/>
        <v>0</v>
      </c>
      <c r="AC7" s="54">
        <f t="shared" si="3"/>
        <v>0</v>
      </c>
      <c r="AD7" s="1">
        <f t="shared" si="4"/>
        <v>0</v>
      </c>
      <c r="AE7" s="5">
        <v>6600000</v>
      </c>
      <c r="AF7" s="6"/>
      <c r="AG7" s="6">
        <v>8499000</v>
      </c>
      <c r="AH7" s="6"/>
      <c r="AI7" s="7" t="s">
        <v>21</v>
      </c>
    </row>
    <row r="8" spans="1:35" ht="24" customHeight="1" x14ac:dyDescent="0.2">
      <c r="A8" s="24" t="s">
        <v>39</v>
      </c>
      <c r="B8" s="12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/>
      <c r="Q8" s="14"/>
      <c r="R8" s="14"/>
      <c r="S8" s="25">
        <f t="shared" si="0"/>
        <v>0</v>
      </c>
      <c r="T8" s="28">
        <f>IF(AND(C8&gt;17),S8,0)</f>
        <v>0</v>
      </c>
      <c r="U8" s="1">
        <f>IF(AND(65&gt;C8,C8&gt;39),S8,0)</f>
        <v>0</v>
      </c>
      <c r="V8" s="1">
        <f>IF(SUM(W8:Z8)&gt;0,1,0)</f>
        <v>0</v>
      </c>
      <c r="W8" s="36" cm="1">
        <f t="array" ref="W8">_xlfn.IFS(
    P8="", 0,
    P8&lt;=1900000, MAX(0, P8-650000),
    P8&lt;=3600000, FLOOR(P8/4, 1000)*2.8-80000,
    P8&lt;=6600000, FLOOR(P8/4, 1000)*3.2-440000,
    P8&lt;=8500000, P8*0.9-1100000,
    P8&gt;8500000, P8-1950000
)</f>
        <v>0</v>
      </c>
      <c r="X8" s="1">
        <f t="shared" si="1"/>
        <v>0</v>
      </c>
      <c r="Y8" s="1">
        <f>MAX(IF(C8&gt;=65,Q8-IF(Q8&lt;=$AG$10,$AI$10,IF(Q8&lt;=$AG$11,(Q8*0.25+275000),IF(Q8&lt;=$AG$12,(Q8*0.15+685000),IF(Q8&lt;=$AG$13,(Q8*0.05+1455000),$AI$14)))),),)</f>
        <v>0</v>
      </c>
      <c r="Z8" s="1">
        <f>MAX(IF(AND(C8&gt;=60,C8&lt;65),Q8-IF(Q8&lt;=$AG$16,$AI$16,IF(Q8&lt;=$AG$17,(Q8*0.25+275000),IF(Q8&lt;=$AG$18,(Q8*0.15+685000),IF(Q8&lt;=$AG$19,(Q8*0.05+1455000),$AI$20)))),),)</f>
        <v>0</v>
      </c>
      <c r="AA8" s="1">
        <f>R8</f>
        <v>0</v>
      </c>
      <c r="AB8" s="1">
        <f t="shared" si="2"/>
        <v>0</v>
      </c>
      <c r="AC8" s="54">
        <f t="shared" si="3"/>
        <v>0</v>
      </c>
      <c r="AD8" s="1">
        <f t="shared" si="4"/>
        <v>0</v>
      </c>
      <c r="AE8" s="8">
        <v>8500000</v>
      </c>
      <c r="AF8" s="9"/>
      <c r="AG8" s="9"/>
      <c r="AH8" s="9"/>
      <c r="AI8" s="10">
        <v>1950000</v>
      </c>
    </row>
    <row r="9" spans="1:35" ht="24" customHeight="1" x14ac:dyDescent="0.2">
      <c r="A9" s="70" t="s">
        <v>40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2"/>
      <c r="T9" s="28"/>
      <c r="AG9" s="1"/>
      <c r="AH9" s="1"/>
      <c r="AI9" s="1"/>
    </row>
    <row r="10" spans="1:35" ht="24" customHeight="1" x14ac:dyDescent="0.2">
      <c r="A10" s="26" t="s">
        <v>41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28"/>
      <c r="R10" s="28"/>
      <c r="S10" s="29"/>
      <c r="T10" s="28"/>
      <c r="V10" s="1">
        <f>IF((SUM(V4:V8)-1)&lt;0,0,(SUM(V4:V8)-1))</f>
        <v>0</v>
      </c>
      <c r="AC10" s="1">
        <f>SUM(AC4:AC8)</f>
        <v>0</v>
      </c>
      <c r="AE10" s="2" t="s">
        <v>29</v>
      </c>
      <c r="AF10" s="3"/>
      <c r="AG10" s="3">
        <v>3300000</v>
      </c>
      <c r="AH10" s="3"/>
      <c r="AI10" s="4">
        <v>1100000</v>
      </c>
    </row>
    <row r="11" spans="1:35" ht="24" customHeight="1" x14ac:dyDescent="0.2">
      <c r="A11" s="26" t="s">
        <v>61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8"/>
      <c r="Q11" s="28"/>
      <c r="R11" s="28"/>
      <c r="S11" s="29"/>
      <c r="T11" s="28"/>
      <c r="AE11" s="5">
        <v>3300001</v>
      </c>
      <c r="AF11" s="6"/>
      <c r="AG11" s="6">
        <v>4100000</v>
      </c>
      <c r="AH11" s="6"/>
      <c r="AI11" s="7" t="s">
        <v>22</v>
      </c>
    </row>
    <row r="12" spans="1:35" ht="24" customHeight="1" x14ac:dyDescent="0.2">
      <c r="A12" s="30"/>
      <c r="B12" s="77" t="s">
        <v>54</v>
      </c>
      <c r="C12" s="77"/>
      <c r="D12" s="77"/>
      <c r="E12" s="78">
        <f>AG32</f>
        <v>0</v>
      </c>
      <c r="F12" s="78"/>
      <c r="G12" s="78"/>
      <c r="H12" s="78"/>
      <c r="I12" s="78"/>
      <c r="J12" s="78"/>
      <c r="K12" s="78"/>
      <c r="L12" s="27"/>
      <c r="M12" s="27"/>
      <c r="N12" s="27"/>
      <c r="O12" s="27"/>
      <c r="P12" s="28"/>
      <c r="Q12" s="28"/>
      <c r="R12" s="28"/>
      <c r="S12" s="29"/>
      <c r="T12" s="28"/>
      <c r="AE12" s="5">
        <v>4100001</v>
      </c>
      <c r="AF12" s="6"/>
      <c r="AG12" s="6">
        <v>7700000</v>
      </c>
      <c r="AH12" s="6"/>
      <c r="AI12" s="7" t="s">
        <v>23</v>
      </c>
    </row>
    <row r="13" spans="1:35" ht="24" customHeight="1" x14ac:dyDescent="0.2">
      <c r="A13" s="30"/>
      <c r="B13" s="77"/>
      <c r="C13" s="77"/>
      <c r="D13" s="77"/>
      <c r="E13" s="78"/>
      <c r="F13" s="78"/>
      <c r="G13" s="78"/>
      <c r="H13" s="78"/>
      <c r="I13" s="78"/>
      <c r="J13" s="78"/>
      <c r="K13" s="78"/>
      <c r="L13" s="27"/>
      <c r="M13" s="27"/>
      <c r="N13" s="27"/>
      <c r="O13" s="27"/>
      <c r="P13" s="28"/>
      <c r="Q13" s="28"/>
      <c r="R13" s="28"/>
      <c r="S13" s="29"/>
      <c r="T13" s="28"/>
      <c r="AE13" s="5">
        <v>7700001</v>
      </c>
      <c r="AF13" s="6"/>
      <c r="AG13" s="6">
        <v>10000000</v>
      </c>
      <c r="AH13" s="6"/>
      <c r="AI13" s="7" t="s">
        <v>24</v>
      </c>
    </row>
    <row r="14" spans="1:35" ht="24" customHeight="1" x14ac:dyDescent="0.2">
      <c r="A14" s="30"/>
      <c r="B14" s="77" t="s">
        <v>33</v>
      </c>
      <c r="C14" s="77"/>
      <c r="D14" s="77"/>
      <c r="E14" s="78">
        <f>IFERROR(AG34,)</f>
        <v>0</v>
      </c>
      <c r="F14" s="78"/>
      <c r="G14" s="78"/>
      <c r="H14" s="78"/>
      <c r="I14" s="78"/>
      <c r="J14" s="78"/>
      <c r="K14" s="78"/>
      <c r="L14" s="27"/>
      <c r="M14" s="27"/>
      <c r="N14" s="27"/>
      <c r="O14" s="27"/>
      <c r="P14" s="28"/>
      <c r="Q14" s="28"/>
      <c r="R14" s="28"/>
      <c r="S14" s="29"/>
      <c r="T14" s="28"/>
      <c r="AE14" s="8">
        <v>10000001</v>
      </c>
      <c r="AF14" s="9"/>
      <c r="AG14" s="9"/>
      <c r="AH14" s="9"/>
      <c r="AI14" s="10">
        <v>1955000</v>
      </c>
    </row>
    <row r="15" spans="1:35" ht="24" customHeight="1" x14ac:dyDescent="0.2">
      <c r="A15" s="30"/>
      <c r="B15" s="77"/>
      <c r="C15" s="77"/>
      <c r="D15" s="77"/>
      <c r="E15" s="78"/>
      <c r="F15" s="78"/>
      <c r="G15" s="78"/>
      <c r="H15" s="78"/>
      <c r="I15" s="78"/>
      <c r="J15" s="78"/>
      <c r="K15" s="78"/>
      <c r="L15" s="27"/>
      <c r="M15" s="27"/>
      <c r="N15" s="27"/>
      <c r="O15" s="27"/>
      <c r="P15" s="28"/>
      <c r="Q15" s="28"/>
      <c r="R15" s="28"/>
      <c r="S15" s="29"/>
      <c r="T15" s="28"/>
      <c r="AG15" s="1"/>
      <c r="AH15" s="1"/>
      <c r="AI15" s="1"/>
    </row>
    <row r="16" spans="1:35" ht="24" customHeight="1" x14ac:dyDescent="0.2">
      <c r="A16" s="30"/>
      <c r="B16" s="27" t="s">
        <v>48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Q16" s="28"/>
      <c r="R16" s="28"/>
      <c r="S16" s="29"/>
      <c r="T16" s="28"/>
      <c r="AE16" s="2" t="s">
        <v>30</v>
      </c>
      <c r="AF16" s="3"/>
      <c r="AG16" s="3">
        <v>1300000</v>
      </c>
      <c r="AH16" s="3"/>
      <c r="AI16" s="4">
        <v>600000</v>
      </c>
    </row>
    <row r="17" spans="1:36" ht="24" customHeight="1" x14ac:dyDescent="0.2">
      <c r="A17" s="30"/>
      <c r="B17" s="27" t="s">
        <v>34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  <c r="Q17" s="28"/>
      <c r="R17" s="28"/>
      <c r="S17" s="29"/>
      <c r="T17" s="28"/>
      <c r="AE17" s="5">
        <v>1300001</v>
      </c>
      <c r="AF17" s="6"/>
      <c r="AG17" s="6">
        <v>4100000</v>
      </c>
      <c r="AH17" s="6"/>
      <c r="AI17" s="7" t="s">
        <v>25</v>
      </c>
    </row>
    <row r="18" spans="1:36" ht="24" customHeight="1" x14ac:dyDescent="0.2">
      <c r="A18" s="30"/>
      <c r="B18" s="27" t="s">
        <v>49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  <c r="Q18" s="28"/>
      <c r="R18" s="28"/>
      <c r="S18" s="29"/>
      <c r="T18" s="28"/>
      <c r="AE18" s="5">
        <v>4100001</v>
      </c>
      <c r="AF18" s="6"/>
      <c r="AG18" s="6">
        <v>7700000</v>
      </c>
      <c r="AH18" s="6"/>
      <c r="AI18" s="7" t="s">
        <v>26</v>
      </c>
    </row>
    <row r="19" spans="1:36" ht="24" customHeight="1" thickBot="1" x14ac:dyDescent="0.25">
      <c r="A19" s="31"/>
      <c r="B19" s="32" t="s">
        <v>60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  <c r="Q19" s="33"/>
      <c r="R19" s="33"/>
      <c r="S19" s="34"/>
      <c r="T19" s="28"/>
      <c r="AE19" s="5">
        <v>7700001</v>
      </c>
      <c r="AF19" s="6"/>
      <c r="AG19" s="6">
        <v>10000000</v>
      </c>
      <c r="AH19" s="6"/>
      <c r="AI19" s="7" t="s">
        <v>27</v>
      </c>
    </row>
    <row r="20" spans="1:36" ht="24" hidden="1" customHeight="1" outlineLevel="1" x14ac:dyDescent="0.2">
      <c r="U20" s="36"/>
      <c r="V20" s="37"/>
      <c r="W20" s="36"/>
      <c r="X20" s="36"/>
      <c r="Y20" s="37"/>
      <c r="AE20" s="8">
        <v>10000001</v>
      </c>
      <c r="AF20" s="9"/>
      <c r="AG20" s="9"/>
      <c r="AH20" s="9"/>
      <c r="AI20" s="10">
        <v>1955000</v>
      </c>
    </row>
    <row r="21" spans="1:36" ht="24" hidden="1" customHeight="1" outlineLevel="1" x14ac:dyDescent="0.2">
      <c r="U21" s="36"/>
      <c r="V21" s="37"/>
      <c r="W21" s="36"/>
      <c r="X21" s="36"/>
      <c r="Y21" s="37"/>
    </row>
    <row r="22" spans="1:36" ht="24" hidden="1" customHeight="1" outlineLevel="1" x14ac:dyDescent="0.2">
      <c r="U22" s="36"/>
      <c r="V22" s="37"/>
      <c r="W22" s="36"/>
      <c r="X22" s="36"/>
      <c r="Y22" s="37"/>
    </row>
    <row r="23" spans="1:36" ht="24" hidden="1" customHeight="1" outlineLevel="1" x14ac:dyDescent="0.2">
      <c r="U23" s="63" t="s">
        <v>7</v>
      </c>
      <c r="V23" s="63"/>
      <c r="W23" s="63"/>
      <c r="X23" s="69" t="s">
        <v>58</v>
      </c>
      <c r="Y23" s="69"/>
      <c r="Z23" s="69"/>
      <c r="AA23" s="79" t="s">
        <v>8</v>
      </c>
      <c r="AB23" s="79"/>
      <c r="AC23" s="79"/>
      <c r="AD23" s="73" t="s">
        <v>57</v>
      </c>
      <c r="AE23" s="73"/>
      <c r="AF23" s="73"/>
      <c r="AG23" s="73"/>
    </row>
    <row r="24" spans="1:36" ht="24" hidden="1" customHeight="1" outlineLevel="1" x14ac:dyDescent="0.2">
      <c r="U24" s="58" t="s">
        <v>9</v>
      </c>
      <c r="V24" s="58" t="s">
        <v>10</v>
      </c>
      <c r="W24" s="58" t="s">
        <v>11</v>
      </c>
      <c r="X24" s="60" t="s">
        <v>9</v>
      </c>
      <c r="Y24" s="60" t="s">
        <v>10</v>
      </c>
      <c r="Z24" s="60" t="s">
        <v>11</v>
      </c>
      <c r="AA24" s="56" t="s">
        <v>9</v>
      </c>
      <c r="AB24" s="56" t="s">
        <v>10</v>
      </c>
      <c r="AC24" s="56" t="s">
        <v>11</v>
      </c>
      <c r="AD24" s="55" t="s">
        <v>9</v>
      </c>
      <c r="AE24" s="55" t="s">
        <v>10</v>
      </c>
      <c r="AF24" s="55" t="s">
        <v>56</v>
      </c>
      <c r="AG24" s="51" t="s">
        <v>55</v>
      </c>
      <c r="AH24" s="35"/>
      <c r="AI24" s="35"/>
      <c r="AJ24" s="35"/>
    </row>
    <row r="25" spans="1:36" ht="24" hidden="1" customHeight="1" outlineLevel="1" x14ac:dyDescent="0.2">
      <c r="U25" s="47" t="str">
        <f>IF((SUM(AC4)-430000)*0.0575&gt;=0,(SUM(AC4)-430000)*0.0575*S4/12,"")</f>
        <v/>
      </c>
      <c r="V25" s="47" t="str">
        <f>IF(S4&gt;0,19500*S4/12*$W$32,"")</f>
        <v/>
      </c>
      <c r="W25" s="63" t="str">
        <f>IF(19000*MAXA(S4:S8)/12&gt;0,19000*MAXA(S4:S8)/12*W32,"")</f>
        <v/>
      </c>
      <c r="X25" s="48" t="str">
        <f>IF((SUM(AC4)-430000)*0.027&gt;=0,(SUM(AC4)-430000)*0.027*S4/12,"")</f>
        <v/>
      </c>
      <c r="Y25" s="48" t="str">
        <f>IF(S4&gt;0,9500*S4/12*$W$32,"")</f>
        <v/>
      </c>
      <c r="Z25" s="64" t="str">
        <f>IF(7000*MAXA(S4:S8)/12&gt;0,7000*MAXA(S4:S8)/12*W32,"")</f>
        <v/>
      </c>
      <c r="AA25" s="49" t="str">
        <f>IF(AND(U4&gt;0,(SUM(AC4)-430000)*0.021&gt;=0),(SUM(AC4)-430000)*0.021*U4/12,"")</f>
        <v/>
      </c>
      <c r="AB25" s="49" t="str">
        <f>IF(U4&gt;0,9800*U4/12*$W$32,"")</f>
        <v/>
      </c>
      <c r="AC25" s="74" t="str">
        <f>IF(5800*MAXA(U4:U8)/12&gt;0,5800*MAXA(U4:U8)/12*W32,"")</f>
        <v/>
      </c>
      <c r="AD25" s="50" t="str">
        <f>IF((SUM(AC4)-430000)*0.0028&gt;=0,(SUM(AC4)-430000)*0.0028*S4/12,"")</f>
        <v/>
      </c>
      <c r="AE25" s="50" t="str">
        <f>IF(T4&gt;0,1200*T4/12*$W$32,"")</f>
        <v/>
      </c>
      <c r="AF25" s="50" t="str">
        <f>IF(T4&gt;0,100*T4/12*$W$32,"")</f>
        <v/>
      </c>
      <c r="AG25" s="73" t="str">
        <f>IF(800*MAXA(S4:S8)/12&gt;0,800*MAXA(S4:S8)/12*W32,"")</f>
        <v/>
      </c>
      <c r="AH25" s="35"/>
      <c r="AI25" s="35"/>
      <c r="AJ25" s="44"/>
    </row>
    <row r="26" spans="1:36" ht="24" hidden="1" customHeight="1" outlineLevel="1" x14ac:dyDescent="0.2">
      <c r="C26" s="52">
        <f>COUNTA(C4:C8)</f>
        <v>0</v>
      </c>
      <c r="D26" s="52" t="s">
        <v>14</v>
      </c>
      <c r="U26" s="47" t="str">
        <f>IF((SUM(AC5)-430000)*0.0575&gt;=0,(SUM(AC5)-430000)*0.0575*S5/12,"")</f>
        <v/>
      </c>
      <c r="V26" s="47" t="str">
        <f>IF(S5&gt;0,19500*S5/12*$W$32,"")</f>
        <v/>
      </c>
      <c r="W26" s="63"/>
      <c r="X26" s="48" t="str">
        <f t="shared" ref="X26:X29" si="5">IF((SUM(AC5)-430000)*0.027&gt;=0,(SUM(AC5)-430000)*0.027*S5/12,"")</f>
        <v/>
      </c>
      <c r="Y26" s="48" t="str">
        <f>IF(S5&gt;0,9500*S5/12*$W$32,"")</f>
        <v/>
      </c>
      <c r="Z26" s="65"/>
      <c r="AA26" s="49" t="str">
        <f t="shared" ref="AA26:AA29" si="6">IF(AND(U5&gt;0,(SUM(AC5)-430000)*0.021&gt;=0),(SUM(AC5)-430000)*0.021*U5/12,"")</f>
        <v/>
      </c>
      <c r="AB26" s="49" t="str">
        <f>IF(U5&gt;0,9800*U5/12*$W$32,"")</f>
        <v/>
      </c>
      <c r="AC26" s="75"/>
      <c r="AD26" s="50" t="str">
        <f t="shared" ref="AD26:AD29" si="7">IF((SUM(AC5)-430000)*0.0028&gt;=0,(SUM(AC5)-430000)*0.0028*S5/12,"")</f>
        <v/>
      </c>
      <c r="AE26" s="50" t="str">
        <f t="shared" ref="AE26:AE29" si="8">IF(T5&gt;0,1200*T5/12*$W$32,"")</f>
        <v/>
      </c>
      <c r="AF26" s="50" t="str">
        <f t="shared" ref="AF26:AF29" si="9">IF(T5&gt;0,100*T5/12*$W$32,"")</f>
        <v/>
      </c>
      <c r="AG26" s="73"/>
      <c r="AH26" s="45"/>
      <c r="AI26" s="46"/>
      <c r="AJ26" s="44"/>
    </row>
    <row r="27" spans="1:36" s="35" customFormat="1" ht="24" hidden="1" customHeight="1" outlineLevel="1" x14ac:dyDescent="0.2">
      <c r="P27" s="36"/>
      <c r="Q27" s="36"/>
      <c r="R27" s="37"/>
      <c r="S27" s="36"/>
      <c r="T27" s="36"/>
      <c r="U27" s="47" t="str">
        <f t="shared" ref="U27:U29" si="10">IF((SUM(AC6)-430000)*0.0575&gt;=0,(SUM(AC6)-430000)*0.0575*S6/12,"")</f>
        <v/>
      </c>
      <c r="V27" s="47" t="str">
        <f>IF(S6&gt;0,19500*S6/12*$W$32,"")</f>
        <v/>
      </c>
      <c r="W27" s="63"/>
      <c r="X27" s="48" t="str">
        <f t="shared" si="5"/>
        <v/>
      </c>
      <c r="Y27" s="48" t="str">
        <f>IF(S6&gt;0,9500*S6/12*$W$32,"")</f>
        <v/>
      </c>
      <c r="Z27" s="65"/>
      <c r="AA27" s="49" t="str">
        <f t="shared" si="6"/>
        <v/>
      </c>
      <c r="AB27" s="49" t="str">
        <f>IF(U6&gt;0,9800*U6/12*$W$32,"")</f>
        <v/>
      </c>
      <c r="AC27" s="75"/>
      <c r="AD27" s="50" t="str">
        <f t="shared" si="7"/>
        <v/>
      </c>
      <c r="AE27" s="50" t="str">
        <f t="shared" si="8"/>
        <v/>
      </c>
      <c r="AF27" s="50" t="str">
        <f t="shared" si="9"/>
        <v/>
      </c>
      <c r="AG27" s="73"/>
      <c r="AH27" s="45"/>
      <c r="AI27" s="46"/>
      <c r="AJ27" s="44"/>
    </row>
    <row r="28" spans="1:36" s="35" customFormat="1" ht="24" hidden="1" customHeight="1" outlineLevel="1" x14ac:dyDescent="0.2">
      <c r="P28" s="36"/>
      <c r="Q28" s="36"/>
      <c r="R28" s="37"/>
      <c r="S28" s="36"/>
      <c r="T28" s="36"/>
      <c r="U28" s="47" t="str">
        <f t="shared" si="10"/>
        <v/>
      </c>
      <c r="V28" s="47" t="str">
        <f>IF(S7&gt;0,19500*S7/12*$W$32,"")</f>
        <v/>
      </c>
      <c r="W28" s="63"/>
      <c r="X28" s="48" t="str">
        <f t="shared" si="5"/>
        <v/>
      </c>
      <c r="Y28" s="48" t="str">
        <f>IF(S7&gt;0,9500*S7/12*$W$32,"")</f>
        <v/>
      </c>
      <c r="Z28" s="65"/>
      <c r="AA28" s="49" t="str">
        <f t="shared" si="6"/>
        <v/>
      </c>
      <c r="AB28" s="49" t="str">
        <f>IF(U7&gt;0,9800*U7/12*$W$32,"")</f>
        <v/>
      </c>
      <c r="AC28" s="75"/>
      <c r="AD28" s="50" t="str">
        <f t="shared" si="7"/>
        <v/>
      </c>
      <c r="AE28" s="50" t="str">
        <f t="shared" si="8"/>
        <v/>
      </c>
      <c r="AF28" s="50" t="str">
        <f t="shared" si="9"/>
        <v/>
      </c>
      <c r="AG28" s="73"/>
      <c r="AH28" s="45"/>
      <c r="AI28" s="46"/>
      <c r="AJ28" s="44"/>
    </row>
    <row r="29" spans="1:36" s="35" customFormat="1" ht="24" hidden="1" customHeight="1" outlineLevel="1" x14ac:dyDescent="0.2">
      <c r="P29" s="36"/>
      <c r="Q29" s="36"/>
      <c r="R29" s="37"/>
      <c r="S29" s="36"/>
      <c r="T29" s="36"/>
      <c r="U29" s="47" t="str">
        <f t="shared" si="10"/>
        <v/>
      </c>
      <c r="V29" s="47" t="str">
        <f>IF(S8&gt;0,19500*S8/12*$W$32,"")</f>
        <v/>
      </c>
      <c r="W29" s="63"/>
      <c r="X29" s="48" t="str">
        <f t="shared" si="5"/>
        <v/>
      </c>
      <c r="Y29" s="48" t="str">
        <f>IF(S8&gt;0,9500*S8/12*$W$32,"")</f>
        <v/>
      </c>
      <c r="Z29" s="66"/>
      <c r="AA29" s="49" t="str">
        <f t="shared" si="6"/>
        <v/>
      </c>
      <c r="AB29" s="49" t="str">
        <f>IF(U8&gt;0,9800*U8/12*$W$32,"")</f>
        <v/>
      </c>
      <c r="AC29" s="76"/>
      <c r="AD29" s="50" t="str">
        <f t="shared" si="7"/>
        <v/>
      </c>
      <c r="AE29" s="50" t="str">
        <f t="shared" si="8"/>
        <v/>
      </c>
      <c r="AF29" s="50" t="str">
        <f t="shared" si="9"/>
        <v/>
      </c>
      <c r="AG29" s="73"/>
      <c r="AH29" s="45"/>
      <c r="AI29" s="46"/>
      <c r="AJ29" s="44"/>
    </row>
    <row r="30" spans="1:36" s="35" customFormat="1" ht="24" hidden="1" customHeight="1" outlineLevel="1" x14ac:dyDescent="0.2">
      <c r="P30" s="36"/>
      <c r="Q30" s="36"/>
      <c r="R30" s="37"/>
      <c r="S30" s="36"/>
      <c r="T30" s="36"/>
      <c r="U30" s="36"/>
      <c r="V30" s="36"/>
      <c r="W30" s="47">
        <f>IF(ROUNDDOWN(SUM(U25:W29),-2)&lt;670000,ROUNDDOWN(SUM(U25:W29),-2),670000)</f>
        <v>0</v>
      </c>
      <c r="X30" s="36"/>
      <c r="Y30" s="36"/>
      <c r="Z30" s="48">
        <f>IF(ROUNDDOWN(SUM(X25:Z29),-2)&lt;260000,ROUNDDOWN(SUM(X25:Z29),-2),260000)</f>
        <v>0</v>
      </c>
      <c r="AA30" s="36"/>
      <c r="AB30" s="36"/>
      <c r="AC30" s="49">
        <f>IF(ROUNDDOWN(SUM(AA25:AC29),-2)&lt;170000,ROUNDDOWN(SUM(AA25:AC29),-2),170000)</f>
        <v>0</v>
      </c>
      <c r="AD30" s="36"/>
      <c r="AE30" s="36"/>
      <c r="AF30" s="36"/>
      <c r="AG30" s="50">
        <f>IF(ROUNDDOWN(SUM(AD25:AG29),-2)&lt;30000,ROUNDDOWN(SUM(AD25:AG29),-2),30000)</f>
        <v>0</v>
      </c>
    </row>
    <row r="31" spans="1:36" s="35" customFormat="1" ht="24" hidden="1" customHeight="1" outlineLevel="1" x14ac:dyDescent="0.2">
      <c r="P31" s="36"/>
      <c r="Q31" s="36"/>
      <c r="R31" s="37"/>
      <c r="S31" s="36"/>
      <c r="T31" s="36"/>
      <c r="U31" s="36" t="s">
        <v>15</v>
      </c>
      <c r="V31" s="36" t="s">
        <v>16</v>
      </c>
      <c r="W31" s="36"/>
      <c r="X31" s="36"/>
      <c r="Y31" s="36"/>
      <c r="Z31" s="36"/>
      <c r="AA31" s="36"/>
      <c r="AB31" s="36"/>
      <c r="AC31" s="36"/>
      <c r="AD31" s="36"/>
      <c r="AE31" s="36"/>
      <c r="AF31" s="36"/>
    </row>
    <row r="32" spans="1:36" ht="24" hidden="1" customHeight="1" outlineLevel="1" x14ac:dyDescent="0.2">
      <c r="U32" s="1">
        <f>SUM(AD4:AD8)</f>
        <v>0</v>
      </c>
      <c r="V32" s="1" t="str">
        <f>IF(W32=0.3,"7割",(IF(W32=0.5,"5割",(IF(W32=0.8,"2割","非該当")))))</f>
        <v>7割</v>
      </c>
      <c r="W32" s="11">
        <f>IF(U32&lt;(430000+100000*V10),0.3,(IF(U32&lt;(430000+100000*V10+310000*C26),0.5,(IF(U32&lt;(430000+100000*V10+570000*C26),0.8,1)))))</f>
        <v>0.3</v>
      </c>
      <c r="AG32" s="43">
        <f>SUM(W30,Z30,AC30,AG30)</f>
        <v>0</v>
      </c>
    </row>
    <row r="33" spans="33:33" ht="24" hidden="1" customHeight="1" outlineLevel="1" x14ac:dyDescent="0.2"/>
    <row r="34" spans="33:33" ht="24" hidden="1" customHeight="1" outlineLevel="1" x14ac:dyDescent="0.2">
      <c r="AG34" s="1" t="e">
        <f>AG32/MAXA(S4:S8)</f>
        <v>#DIV/0!</v>
      </c>
    </row>
    <row r="35" spans="33:33" ht="24" customHeight="1" collapsed="1" x14ac:dyDescent="0.2"/>
  </sheetData>
  <sheetProtection algorithmName="SHA-512" hashValue="32PRzhdrysiMWYNMm0BMneXDaWg/hUe3rVXxmKfrzSjFymAMXyp3DVnmI446GzEwokDU/9T+TGaq575nQMBUBg==" saltValue="Hae+YnCV37OSFPjgkWTP7w==" spinCount="100000" sheet="1" objects="1" scenarios="1"/>
  <mergeCells count="19">
    <mergeCell ref="AG25:AG29"/>
    <mergeCell ref="AC25:AC29"/>
    <mergeCell ref="B12:D13"/>
    <mergeCell ref="B14:D15"/>
    <mergeCell ref="E12:K13"/>
    <mergeCell ref="E14:K15"/>
    <mergeCell ref="AA23:AC23"/>
    <mergeCell ref="AD23:AG23"/>
    <mergeCell ref="C2:C3"/>
    <mergeCell ref="B2:B3"/>
    <mergeCell ref="A2:A3"/>
    <mergeCell ref="W25:W29"/>
    <mergeCell ref="Z25:Z29"/>
    <mergeCell ref="P2:R2"/>
    <mergeCell ref="D2:O2"/>
    <mergeCell ref="S2:S3"/>
    <mergeCell ref="U23:W23"/>
    <mergeCell ref="X23:Z23"/>
    <mergeCell ref="A9:S9"/>
  </mergeCells>
  <phoneticPr fontId="1"/>
  <dataValidations count="1">
    <dataValidation type="list" allowBlank="1" showInputMessage="1" showErrorMessage="1" sqref="D4:O8" xr:uid="{00000000-0002-0000-0000-000000000000}">
      <formula1>$D$25:$D$26</formula1>
    </dataValidation>
  </dataValidations>
  <printOptions horizontalCentered="1"/>
  <pageMargins left="0.70866141732283472" right="0.70866141732283472" top="0.47244094488188981" bottom="0.74803149606299213" header="0.51181102362204722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9"/>
  <sheetViews>
    <sheetView zoomScaleNormal="100" zoomScaleSheetLayoutView="100" workbookViewId="0">
      <selection activeCell="B2" sqref="B2:B3"/>
    </sheetView>
  </sheetViews>
  <sheetFormatPr defaultRowHeight="13.2" x14ac:dyDescent="0.2"/>
  <cols>
    <col min="2" max="2" width="12.44140625" customWidth="1"/>
    <col min="3" max="3" width="6.21875" customWidth="1"/>
    <col min="4" max="15" width="4" customWidth="1"/>
    <col min="16" max="18" width="15" style="1" customWidth="1"/>
    <col min="19" max="19" width="10.109375" style="1" customWidth="1"/>
  </cols>
  <sheetData>
    <row r="1" spans="1:19" ht="24" customHeight="1" x14ac:dyDescent="0.2">
      <c r="A1" s="38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Q1" s="40"/>
      <c r="R1" s="40"/>
      <c r="S1" s="41"/>
    </row>
    <row r="2" spans="1:19" ht="24" customHeight="1" x14ac:dyDescent="0.2">
      <c r="A2" s="62"/>
      <c r="B2" s="61" t="s">
        <v>5</v>
      </c>
      <c r="C2" s="61" t="s">
        <v>0</v>
      </c>
      <c r="D2" s="61" t="s">
        <v>47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7" t="s">
        <v>35</v>
      </c>
      <c r="Q2" s="67"/>
      <c r="R2" s="67"/>
      <c r="S2" s="68" t="s">
        <v>4</v>
      </c>
    </row>
    <row r="3" spans="1:19" ht="24" customHeight="1" x14ac:dyDescent="0.2">
      <c r="A3" s="62"/>
      <c r="B3" s="61"/>
      <c r="C3" s="61"/>
      <c r="D3" s="18">
        <v>4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  <c r="M3" s="18">
        <v>1</v>
      </c>
      <c r="N3" s="18">
        <v>2</v>
      </c>
      <c r="O3" s="18">
        <v>3</v>
      </c>
      <c r="P3" s="19" t="s">
        <v>17</v>
      </c>
      <c r="Q3" s="19" t="s">
        <v>18</v>
      </c>
      <c r="R3" s="19" t="s">
        <v>3</v>
      </c>
      <c r="S3" s="68"/>
    </row>
    <row r="4" spans="1:19" ht="24" customHeight="1" x14ac:dyDescent="0.2">
      <c r="A4" s="24" t="s">
        <v>2</v>
      </c>
      <c r="B4" s="15" t="s">
        <v>43</v>
      </c>
      <c r="C4" s="15">
        <v>42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>
        <v>3000000</v>
      </c>
      <c r="Q4" s="17">
        <v>0</v>
      </c>
      <c r="R4" s="17">
        <v>0</v>
      </c>
      <c r="S4" s="25">
        <f>COUNTA(D4:O4)</f>
        <v>0</v>
      </c>
    </row>
    <row r="5" spans="1:19" ht="24" customHeight="1" x14ac:dyDescent="0.2">
      <c r="A5" s="24" t="s">
        <v>36</v>
      </c>
      <c r="B5" s="15" t="s">
        <v>44</v>
      </c>
      <c r="C5" s="15">
        <v>38</v>
      </c>
      <c r="D5" s="16"/>
      <c r="E5" s="16"/>
      <c r="F5" s="16"/>
      <c r="G5" s="16"/>
      <c r="H5" s="16" t="s">
        <v>13</v>
      </c>
      <c r="I5" s="16" t="s">
        <v>13</v>
      </c>
      <c r="J5" s="16" t="s">
        <v>13</v>
      </c>
      <c r="K5" s="16" t="s">
        <v>13</v>
      </c>
      <c r="L5" s="16" t="s">
        <v>13</v>
      </c>
      <c r="M5" s="16" t="s">
        <v>13</v>
      </c>
      <c r="N5" s="16" t="s">
        <v>13</v>
      </c>
      <c r="O5" s="16" t="s">
        <v>13</v>
      </c>
      <c r="P5" s="17">
        <v>0</v>
      </c>
      <c r="Q5" s="17">
        <v>0</v>
      </c>
      <c r="R5" s="17">
        <v>0</v>
      </c>
      <c r="S5" s="25">
        <f t="shared" ref="S5:S8" si="0">COUNTA(D5:O5)</f>
        <v>8</v>
      </c>
    </row>
    <row r="6" spans="1:19" ht="24" customHeight="1" x14ac:dyDescent="0.2">
      <c r="A6" s="24" t="s">
        <v>37</v>
      </c>
      <c r="B6" s="15" t="s">
        <v>46</v>
      </c>
      <c r="C6" s="15">
        <v>15</v>
      </c>
      <c r="D6" s="16"/>
      <c r="E6" s="16"/>
      <c r="F6" s="16"/>
      <c r="G6" s="16"/>
      <c r="H6" s="16" t="s">
        <v>13</v>
      </c>
      <c r="I6" s="16" t="s">
        <v>13</v>
      </c>
      <c r="J6" s="16" t="s">
        <v>13</v>
      </c>
      <c r="K6" s="16" t="s">
        <v>13</v>
      </c>
      <c r="L6" s="16" t="s">
        <v>13</v>
      </c>
      <c r="M6" s="16" t="s">
        <v>13</v>
      </c>
      <c r="N6" s="16" t="s">
        <v>13</v>
      </c>
      <c r="O6" s="16" t="s">
        <v>13</v>
      </c>
      <c r="P6" s="17">
        <v>0</v>
      </c>
      <c r="Q6" s="17">
        <v>0</v>
      </c>
      <c r="R6" s="17">
        <v>0</v>
      </c>
      <c r="S6" s="25">
        <f t="shared" si="0"/>
        <v>8</v>
      </c>
    </row>
    <row r="7" spans="1:19" ht="24" customHeight="1" x14ac:dyDescent="0.2">
      <c r="A7" s="24" t="s">
        <v>38</v>
      </c>
      <c r="B7" s="15" t="s">
        <v>45</v>
      </c>
      <c r="C7" s="15">
        <v>64</v>
      </c>
      <c r="D7" s="16" t="s">
        <v>13</v>
      </c>
      <c r="E7" s="16" t="s">
        <v>13</v>
      </c>
      <c r="F7" s="16" t="s">
        <v>13</v>
      </c>
      <c r="G7" s="16" t="s">
        <v>13</v>
      </c>
      <c r="H7" s="16" t="s">
        <v>13</v>
      </c>
      <c r="I7" s="16" t="s">
        <v>13</v>
      </c>
      <c r="J7" s="16" t="s">
        <v>13</v>
      </c>
      <c r="K7" s="16" t="s">
        <v>13</v>
      </c>
      <c r="L7" s="16" t="s">
        <v>13</v>
      </c>
      <c r="M7" s="16" t="s">
        <v>13</v>
      </c>
      <c r="N7" s="16" t="s">
        <v>13</v>
      </c>
      <c r="O7" s="16" t="s">
        <v>13</v>
      </c>
      <c r="P7" s="17">
        <v>0</v>
      </c>
      <c r="Q7" s="17">
        <v>1000000</v>
      </c>
      <c r="R7" s="17">
        <v>300000</v>
      </c>
      <c r="S7" s="25">
        <f t="shared" si="0"/>
        <v>12</v>
      </c>
    </row>
    <row r="8" spans="1:19" ht="24" customHeight="1" x14ac:dyDescent="0.2">
      <c r="A8" s="24" t="s">
        <v>39</v>
      </c>
      <c r="B8" s="15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17"/>
      <c r="R8" s="17"/>
      <c r="S8" s="25">
        <f t="shared" si="0"/>
        <v>0</v>
      </c>
    </row>
    <row r="9" spans="1:19" ht="24" customHeight="1" x14ac:dyDescent="0.2">
      <c r="A9" s="26" t="s">
        <v>40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8"/>
      <c r="R9" s="28"/>
      <c r="S9" s="29"/>
    </row>
    <row r="10" spans="1:19" ht="24" customHeight="1" x14ac:dyDescent="0.2">
      <c r="A10" s="26" t="s">
        <v>41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28"/>
      <c r="R10" s="28"/>
      <c r="S10" s="29"/>
    </row>
    <row r="11" spans="1:19" ht="24" customHeight="1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8"/>
      <c r="Q11" s="28"/>
      <c r="R11" s="28"/>
      <c r="S11" s="29"/>
    </row>
    <row r="12" spans="1:19" ht="24" customHeight="1" x14ac:dyDescent="0.2">
      <c r="A12" s="30"/>
      <c r="B12" s="80" t="s">
        <v>54</v>
      </c>
      <c r="C12" s="80"/>
      <c r="D12" s="80"/>
      <c r="E12" s="78">
        <v>118900</v>
      </c>
      <c r="F12" s="78"/>
      <c r="G12" s="78"/>
      <c r="H12" s="78"/>
      <c r="I12" s="78"/>
      <c r="J12" s="78"/>
      <c r="K12" s="78"/>
      <c r="L12" s="27"/>
      <c r="M12" s="27"/>
      <c r="N12" s="27"/>
      <c r="O12" s="27"/>
      <c r="P12" s="28"/>
      <c r="Q12" s="28"/>
      <c r="R12" s="28"/>
      <c r="S12" s="29"/>
    </row>
    <row r="13" spans="1:19" ht="24" customHeight="1" x14ac:dyDescent="0.2">
      <c r="A13" s="30"/>
      <c r="B13" s="80"/>
      <c r="C13" s="80"/>
      <c r="D13" s="80"/>
      <c r="E13" s="78"/>
      <c r="F13" s="78"/>
      <c r="G13" s="78"/>
      <c r="H13" s="78"/>
      <c r="I13" s="78"/>
      <c r="J13" s="78"/>
      <c r="K13" s="78"/>
      <c r="L13" s="27"/>
      <c r="M13" s="27"/>
      <c r="N13" s="27"/>
      <c r="O13" s="27"/>
      <c r="P13" s="28"/>
      <c r="Q13" s="28"/>
      <c r="R13" s="28"/>
      <c r="S13" s="29"/>
    </row>
    <row r="14" spans="1:19" ht="24" customHeight="1" x14ac:dyDescent="0.2">
      <c r="A14" s="30"/>
      <c r="B14" s="80" t="s">
        <v>33</v>
      </c>
      <c r="C14" s="80"/>
      <c r="D14" s="80"/>
      <c r="E14" s="78">
        <v>9908</v>
      </c>
      <c r="F14" s="78"/>
      <c r="G14" s="78"/>
      <c r="H14" s="78"/>
      <c r="I14" s="78"/>
      <c r="J14" s="78"/>
      <c r="K14" s="78"/>
      <c r="L14" s="27"/>
      <c r="M14" s="27"/>
      <c r="N14" s="27"/>
      <c r="O14" s="27"/>
      <c r="P14" s="28"/>
      <c r="Q14" s="28"/>
      <c r="R14" s="28"/>
      <c r="S14" s="29"/>
    </row>
    <row r="15" spans="1:19" ht="24" customHeight="1" x14ac:dyDescent="0.2">
      <c r="A15" s="30"/>
      <c r="B15" s="80"/>
      <c r="C15" s="80"/>
      <c r="D15" s="80"/>
      <c r="E15" s="78"/>
      <c r="F15" s="78"/>
      <c r="G15" s="78"/>
      <c r="H15" s="78"/>
      <c r="I15" s="78"/>
      <c r="J15" s="78"/>
      <c r="K15" s="78"/>
      <c r="L15" s="27"/>
      <c r="M15" s="27"/>
      <c r="N15" s="27"/>
      <c r="O15" s="27"/>
      <c r="P15" s="28"/>
      <c r="Q15" s="28"/>
      <c r="R15" s="28"/>
      <c r="S15" s="29"/>
    </row>
    <row r="16" spans="1:19" ht="24" customHeight="1" x14ac:dyDescent="0.2">
      <c r="A16" s="30"/>
      <c r="B16" s="27" t="s">
        <v>50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Q16" s="28"/>
      <c r="R16" s="28"/>
      <c r="S16" s="29"/>
    </row>
    <row r="17" spans="1:19" ht="24" customHeight="1" x14ac:dyDescent="0.2">
      <c r="A17" s="30"/>
      <c r="B17" s="27" t="s">
        <v>34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  <c r="Q17" s="28"/>
      <c r="R17" s="28"/>
      <c r="S17" s="29"/>
    </row>
    <row r="18" spans="1:19" ht="24" customHeight="1" x14ac:dyDescent="0.2">
      <c r="A18" s="30"/>
      <c r="B18" s="27" t="s">
        <v>49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  <c r="Q18" s="28"/>
      <c r="R18" s="28"/>
      <c r="S18" s="29"/>
    </row>
    <row r="19" spans="1:19" ht="24" customHeight="1" thickBo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  <c r="Q19" s="33"/>
      <c r="R19" s="33"/>
      <c r="S19" s="34"/>
    </row>
  </sheetData>
  <mergeCells count="10">
    <mergeCell ref="S2:S3"/>
    <mergeCell ref="B12:D13"/>
    <mergeCell ref="E12:K13"/>
    <mergeCell ref="B14:D15"/>
    <mergeCell ref="E14:K15"/>
    <mergeCell ref="A2:A3"/>
    <mergeCell ref="B2:B3"/>
    <mergeCell ref="C2:C3"/>
    <mergeCell ref="D2:O2"/>
    <mergeCell ref="P2:R2"/>
  </mergeCells>
  <phoneticPr fontId="1"/>
  <dataValidations count="1">
    <dataValidation type="list" allowBlank="1" showInputMessage="1" showErrorMessage="1" sqref="D4:O8" xr:uid="{00000000-0002-0000-01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R8国保税試算</vt:lpstr>
      <vt:lpstr>入力例</vt:lpstr>
      <vt:lpstr>'R8国保税試算'!Print_Area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根本 幹大</dc:creator>
  <cp:lastModifiedBy>石田 沙織</cp:lastModifiedBy>
  <cp:lastPrinted>2026-03-25T05:00:25Z</cp:lastPrinted>
  <dcterms:created xsi:type="dcterms:W3CDTF">2021-06-30T23:22:48Z</dcterms:created>
  <dcterms:modified xsi:type="dcterms:W3CDTF">2026-06-29T08:01:24Z</dcterms:modified>
</cp:coreProperties>
</file>